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 tabRatio="603" activeTab="1"/>
  </bookViews>
  <sheets>
    <sheet name="024-01.09 правильный" sheetId="10" r:id="rId1"/>
    <sheet name="052-01.09. правильный" sheetId="11" r:id="rId2"/>
  </sheets>
  <definedNames>
    <definedName name="_xlnm._FilterDatabase" localSheetId="0" hidden="1">'024-01.09 правильный'!#REF!</definedName>
    <definedName name="_xlnm._FilterDatabase" localSheetId="1" hidden="1">'052-01.09. правильный'!#REF!</definedName>
    <definedName name="А80" localSheetId="0">#REF!</definedName>
    <definedName name="А80" localSheetId="1">#REF!</definedName>
    <definedName name="А80">#REF!</definedName>
    <definedName name="АТ53" localSheetId="0">#REF!</definedName>
    <definedName name="АТ53" localSheetId="1">#REF!</definedName>
    <definedName name="АТ53">#REF!</definedName>
    <definedName name="В27" localSheetId="0">#REF!</definedName>
    <definedName name="В27" localSheetId="1">#REF!</definedName>
    <definedName name="В27">#REF!</definedName>
    <definedName name="В33" localSheetId="0">#REF!</definedName>
    <definedName name="В33" localSheetId="1">#REF!</definedName>
    <definedName name="В33">#REF!</definedName>
    <definedName name="_xlnm.Print_Titles" localSheetId="0">'024-01.09 правильный'!$A:$A,'024-01.09 правильный'!$7:$11</definedName>
    <definedName name="_xlnm.Print_Titles" localSheetId="1">'052-01.09. правильный'!$A:$A,'052-01.09. правильный'!$9:$13</definedName>
    <definedName name="_xlnm.Print_Area" localSheetId="1">'052-01.09. правильный'!$A$1:$AH$20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0" l="1"/>
  <c r="H42" i="10"/>
  <c r="I42" i="10"/>
  <c r="J42" i="10"/>
  <c r="K42" i="10"/>
  <c r="L42" i="10"/>
  <c r="M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AF37" i="10"/>
  <c r="Q40" i="10"/>
  <c r="R40" i="10" s="1"/>
  <c r="AG40" i="10" s="1"/>
  <c r="Q41" i="10"/>
  <c r="R41" i="10" s="1"/>
  <c r="B42" i="10"/>
  <c r="F40" i="10"/>
  <c r="F41" i="10"/>
  <c r="R49" i="10"/>
  <c r="AH49" i="10" s="1"/>
  <c r="Q49" i="10"/>
  <c r="Q50" i="10"/>
  <c r="R50" i="10" s="1"/>
  <c r="O49" i="10"/>
  <c r="AI49" i="10" s="1"/>
  <c r="F49" i="10"/>
  <c r="F50" i="10"/>
  <c r="N50" i="10" s="1"/>
  <c r="O50" i="10" s="1"/>
  <c r="AI50" i="10" s="1"/>
  <c r="AD18" i="11"/>
  <c r="AD19" i="11" s="1"/>
  <c r="AC18" i="11"/>
  <c r="AC19" i="11" s="1"/>
  <c r="AA18" i="11"/>
  <c r="AA19" i="11" s="1"/>
  <c r="Z18" i="11"/>
  <c r="Z19" i="11" s="1"/>
  <c r="Y18" i="11"/>
  <c r="Y19" i="11" s="1"/>
  <c r="X18" i="11"/>
  <c r="X19" i="11" s="1"/>
  <c r="W18" i="11"/>
  <c r="W19" i="11" s="1"/>
  <c r="V18" i="11"/>
  <c r="V19" i="11" s="1"/>
  <c r="U18" i="11"/>
  <c r="U19" i="11" s="1"/>
  <c r="T18" i="11"/>
  <c r="T19" i="11" s="1"/>
  <c r="S18" i="11"/>
  <c r="S19" i="11" s="1"/>
  <c r="L18" i="11"/>
  <c r="L19" i="11" s="1"/>
  <c r="K18" i="11"/>
  <c r="K19" i="11" s="1"/>
  <c r="J18" i="11"/>
  <c r="J19" i="11" s="1"/>
  <c r="I18" i="11"/>
  <c r="I19" i="11" s="1"/>
  <c r="H18" i="11"/>
  <c r="H19" i="11" s="1"/>
  <c r="B18" i="11"/>
  <c r="B19" i="11" s="1"/>
  <c r="P17" i="11"/>
  <c r="Q17" i="11" s="1"/>
  <c r="AE17" i="11" s="1"/>
  <c r="O17" i="11"/>
  <c r="F17" i="11"/>
  <c r="M17" i="11" s="1"/>
  <c r="N17" i="11" s="1"/>
  <c r="AG17" i="11" s="1"/>
  <c r="P16" i="11"/>
  <c r="Q16" i="11" s="1"/>
  <c r="M16" i="11"/>
  <c r="F16" i="11"/>
  <c r="P15" i="11"/>
  <c r="Q15" i="11" s="1"/>
  <c r="O15" i="11"/>
  <c r="F15" i="11"/>
  <c r="G15" i="11" s="1"/>
  <c r="P14" i="11"/>
  <c r="Q14" i="11" s="1"/>
  <c r="O14" i="11"/>
  <c r="F14" i="11"/>
  <c r="G14" i="11" s="1"/>
  <c r="AF54" i="10"/>
  <c r="AE54" i="10"/>
  <c r="AD54" i="10"/>
  <c r="AC54" i="10"/>
  <c r="AB54" i="10"/>
  <c r="AA54" i="10"/>
  <c r="Z54" i="10"/>
  <c r="Y54" i="10"/>
  <c r="X54" i="10"/>
  <c r="W54" i="10"/>
  <c r="V54" i="10"/>
  <c r="S54" i="10"/>
  <c r="M54" i="10"/>
  <c r="L54" i="10"/>
  <c r="K54" i="10"/>
  <c r="J54" i="10"/>
  <c r="H54" i="10"/>
  <c r="G54" i="10"/>
  <c r="B54" i="10"/>
  <c r="T53" i="10"/>
  <c r="Q53" i="10"/>
  <c r="R53" i="10" s="1"/>
  <c r="F53" i="10"/>
  <c r="N53" i="10" s="1"/>
  <c r="Q52" i="10"/>
  <c r="R52" i="10" s="1"/>
  <c r="F52" i="10"/>
  <c r="N52" i="10" s="1"/>
  <c r="O52" i="10" s="1"/>
  <c r="AI52" i="10" s="1"/>
  <c r="T51" i="10"/>
  <c r="Q51" i="10"/>
  <c r="R51" i="10" s="1"/>
  <c r="AG51" i="10" s="1"/>
  <c r="F51" i="10"/>
  <c r="Q48" i="10"/>
  <c r="R48" i="10" s="1"/>
  <c r="F48" i="10"/>
  <c r="U47" i="10"/>
  <c r="T47" i="10"/>
  <c r="Q47" i="10"/>
  <c r="R47" i="10" s="1"/>
  <c r="I47" i="10"/>
  <c r="F47" i="10"/>
  <c r="N47" i="10" s="1"/>
  <c r="U46" i="10"/>
  <c r="T46" i="10"/>
  <c r="Q46" i="10"/>
  <c r="R46" i="10" s="1"/>
  <c r="I46" i="10"/>
  <c r="F46" i="10"/>
  <c r="N46" i="10" s="1"/>
  <c r="T45" i="10"/>
  <c r="Q45" i="10"/>
  <c r="R45" i="10" s="1"/>
  <c r="U45" i="10" s="1"/>
  <c r="F45" i="10"/>
  <c r="I45" i="10" s="1"/>
  <c r="T44" i="10"/>
  <c r="Q44" i="10"/>
  <c r="R44" i="10" s="1"/>
  <c r="F44" i="10"/>
  <c r="N44" i="10" s="1"/>
  <c r="T43" i="10"/>
  <c r="Q43" i="10"/>
  <c r="R43" i="10" s="1"/>
  <c r="F43" i="10"/>
  <c r="N43" i="10" s="1"/>
  <c r="O43" i="10" s="1"/>
  <c r="Q39" i="10"/>
  <c r="R39" i="10" s="1"/>
  <c r="AH39" i="10" s="1"/>
  <c r="F39" i="10"/>
  <c r="O39" i="10" s="1"/>
  <c r="AI39" i="10" s="1"/>
  <c r="Q38" i="10"/>
  <c r="R38" i="10" s="1"/>
  <c r="F38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M37" i="10"/>
  <c r="L37" i="10"/>
  <c r="J37" i="10"/>
  <c r="I37" i="10"/>
  <c r="H37" i="10"/>
  <c r="B37" i="10"/>
  <c r="Q36" i="10"/>
  <c r="R36" i="10" s="1"/>
  <c r="F36" i="10"/>
  <c r="N36" i="10" s="1"/>
  <c r="Q35" i="10"/>
  <c r="R35" i="10" s="1"/>
  <c r="F35" i="10"/>
  <c r="N35" i="10" s="1"/>
  <c r="Q34" i="10"/>
  <c r="R34" i="10" s="1"/>
  <c r="F34" i="10"/>
  <c r="Q33" i="10"/>
  <c r="R33" i="10" s="1"/>
  <c r="AG33" i="10" s="1"/>
  <c r="F33" i="10"/>
  <c r="N33" i="10" s="1"/>
  <c r="Q32" i="10"/>
  <c r="R32" i="10" s="1"/>
  <c r="K32" i="10"/>
  <c r="K37" i="10" s="1"/>
  <c r="F32" i="10"/>
  <c r="G32" i="10" s="1"/>
  <c r="G37" i="10" s="1"/>
  <c r="Q31" i="10"/>
  <c r="R31" i="10" s="1"/>
  <c r="F31" i="10"/>
  <c r="N31" i="10" s="1"/>
  <c r="Q30" i="10"/>
  <c r="R30" i="10" s="1"/>
  <c r="F30" i="10"/>
  <c r="N30" i="10" s="1"/>
  <c r="AF29" i="10"/>
  <c r="AE29" i="10"/>
  <c r="AC29" i="10"/>
  <c r="AB29" i="10"/>
  <c r="AA29" i="10"/>
  <c r="Z29" i="10"/>
  <c r="Y29" i="10"/>
  <c r="X29" i="10"/>
  <c r="W29" i="10"/>
  <c r="V29" i="10"/>
  <c r="U29" i="10"/>
  <c r="T29" i="10"/>
  <c r="M29" i="10"/>
  <c r="K29" i="10"/>
  <c r="J29" i="10"/>
  <c r="I29" i="10"/>
  <c r="H29" i="10"/>
  <c r="B29" i="10"/>
  <c r="Q28" i="10"/>
  <c r="R28" i="10" s="1"/>
  <c r="F28" i="10"/>
  <c r="Q27" i="10"/>
  <c r="R27" i="10" s="1"/>
  <c r="F27" i="10"/>
  <c r="G27" i="10" s="1"/>
  <c r="N27" i="10" s="1"/>
  <c r="Q26" i="10"/>
  <c r="R26" i="10" s="1"/>
  <c r="S26" i="10" s="1"/>
  <c r="F26" i="10"/>
  <c r="Q25" i="10"/>
  <c r="R25" i="10" s="1"/>
  <c r="F25" i="10"/>
  <c r="G25" i="10" s="1"/>
  <c r="Q24" i="10"/>
  <c r="R24" i="10" s="1"/>
  <c r="F24" i="10"/>
  <c r="G24" i="10" s="1"/>
  <c r="Q23" i="10"/>
  <c r="R23" i="10" s="1"/>
  <c r="F23" i="10"/>
  <c r="Q22" i="10"/>
  <c r="R22" i="10" s="1"/>
  <c r="S22" i="10" s="1"/>
  <c r="L22" i="10"/>
  <c r="F22" i="10"/>
  <c r="Q21" i="10"/>
  <c r="R21" i="10" s="1"/>
  <c r="S21" i="10" s="1"/>
  <c r="L21" i="10"/>
  <c r="F21" i="10"/>
  <c r="Q20" i="10"/>
  <c r="R20" i="10" s="1"/>
  <c r="L20" i="10"/>
  <c r="F20" i="10"/>
  <c r="G20" i="10" s="1"/>
  <c r="N20" i="10" s="1"/>
  <c r="Q19" i="10"/>
  <c r="R19" i="10" s="1"/>
  <c r="L19" i="10"/>
  <c r="F19" i="10"/>
  <c r="Q18" i="10"/>
  <c r="R18" i="10" s="1"/>
  <c r="L18" i="10"/>
  <c r="F18" i="10"/>
  <c r="G18" i="10" s="1"/>
  <c r="N18" i="10" s="1"/>
  <c r="AF17" i="10"/>
  <c r="AF55" i="10" s="1"/>
  <c r="AE17" i="10"/>
  <c r="AD17" i="10"/>
  <c r="AC17" i="10"/>
  <c r="AB17" i="10"/>
  <c r="AB55" i="10" s="1"/>
  <c r="Y17" i="10"/>
  <c r="X17" i="10"/>
  <c r="W17" i="10"/>
  <c r="V17" i="10"/>
  <c r="V55" i="10" s="1"/>
  <c r="U17" i="10"/>
  <c r="T17" i="10"/>
  <c r="M17" i="10"/>
  <c r="M55" i="10" s="1"/>
  <c r="L17" i="10"/>
  <c r="K17" i="10"/>
  <c r="J17" i="10"/>
  <c r="I17" i="10"/>
  <c r="H17" i="10"/>
  <c r="H55" i="10" s="1"/>
  <c r="B17" i="10"/>
  <c r="Q16" i="10"/>
  <c r="R16" i="10" s="1"/>
  <c r="F16" i="10"/>
  <c r="N16" i="10" s="1"/>
  <c r="O16" i="10" s="1"/>
  <c r="AI16" i="10" s="1"/>
  <c r="R15" i="10"/>
  <c r="Q15" i="10"/>
  <c r="F15" i="10"/>
  <c r="Q14" i="10"/>
  <c r="R14" i="10" s="1"/>
  <c r="S14" i="10" s="1"/>
  <c r="F14" i="10"/>
  <c r="Q13" i="10"/>
  <c r="R13" i="10" s="1"/>
  <c r="S13" i="10" s="1"/>
  <c r="F13" i="10"/>
  <c r="Q12" i="10"/>
  <c r="R12" i="10" s="1"/>
  <c r="F12" i="10"/>
  <c r="F17" i="10" s="1"/>
  <c r="U54" i="10" l="1"/>
  <c r="F42" i="10"/>
  <c r="AC55" i="10"/>
  <c r="R42" i="10"/>
  <c r="AJ49" i="10"/>
  <c r="Y55" i="10"/>
  <c r="U55" i="10"/>
  <c r="S32" i="10"/>
  <c r="S37" i="10" s="1"/>
  <c r="AG36" i="10"/>
  <c r="AH36" i="10" s="1"/>
  <c r="S19" i="10"/>
  <c r="AG19" i="10" s="1"/>
  <c r="AH19" i="10" s="1"/>
  <c r="S23" i="10"/>
  <c r="AG23" i="10" s="1"/>
  <c r="S24" i="10"/>
  <c r="AG24" i="10"/>
  <c r="S28" i="10"/>
  <c r="O40" i="10"/>
  <c r="S20" i="10"/>
  <c r="AD20" i="10" s="1"/>
  <c r="AD29" i="10" s="1"/>
  <c r="AD55" i="10" s="1"/>
  <c r="S27" i="10"/>
  <c r="AG27" i="10" s="1"/>
  <c r="AG31" i="10"/>
  <c r="AH31" i="10" s="1"/>
  <c r="S18" i="10"/>
  <c r="AG18" i="10" s="1"/>
  <c r="AH18" i="10" s="1"/>
  <c r="O30" i="10"/>
  <c r="AI30" i="10" s="1"/>
  <c r="AG35" i="10"/>
  <c r="AH35" i="10" s="1"/>
  <c r="G12" i="10"/>
  <c r="G15" i="10"/>
  <c r="B55" i="10"/>
  <c r="X55" i="10"/>
  <c r="N24" i="10"/>
  <c r="AE55" i="10"/>
  <c r="L29" i="10"/>
  <c r="G23" i="10"/>
  <c r="N23" i="10" s="1"/>
  <c r="O24" i="10"/>
  <c r="AI24" i="10" s="1"/>
  <c r="G26" i="10"/>
  <c r="O35" i="10"/>
  <c r="AI35" i="10" s="1"/>
  <c r="T54" i="10"/>
  <c r="T55" i="10" s="1"/>
  <c r="O47" i="10"/>
  <c r="AI47" i="10" s="1"/>
  <c r="O53" i="10"/>
  <c r="AI53" i="10" s="1"/>
  <c r="AG50" i="10"/>
  <c r="AH50" i="10" s="1"/>
  <c r="AJ50" i="10" s="1"/>
  <c r="N40" i="10"/>
  <c r="AH40" i="10"/>
  <c r="AG41" i="10"/>
  <c r="L55" i="10"/>
  <c r="K55" i="10"/>
  <c r="G14" i="10"/>
  <c r="F29" i="10"/>
  <c r="O20" i="10"/>
  <c r="AI20" i="10" s="1"/>
  <c r="G21" i="10"/>
  <c r="N21" i="10" s="1"/>
  <c r="G28" i="10"/>
  <c r="N28" i="10" s="1"/>
  <c r="N34" i="10"/>
  <c r="O34" i="10" s="1"/>
  <c r="AI34" i="10" s="1"/>
  <c r="O38" i="10"/>
  <c r="AI38" i="10" s="1"/>
  <c r="N51" i="10"/>
  <c r="O51" i="10" s="1"/>
  <c r="AI51" i="10" s="1"/>
  <c r="N13" i="10"/>
  <c r="O13" i="10" s="1"/>
  <c r="AI13" i="10" s="1"/>
  <c r="Z15" i="10"/>
  <c r="O36" i="10"/>
  <c r="AI36" i="10" s="1"/>
  <c r="G13" i="10"/>
  <c r="S15" i="10"/>
  <c r="AG15" i="10" s="1"/>
  <c r="W55" i="10"/>
  <c r="J55" i="10"/>
  <c r="G22" i="10"/>
  <c r="O27" i="10"/>
  <c r="AI27" i="10" s="1"/>
  <c r="F37" i="10"/>
  <c r="O31" i="10"/>
  <c r="AI31" i="10" s="1"/>
  <c r="N48" i="10"/>
  <c r="O48" i="10" s="1"/>
  <c r="AI48" i="10" s="1"/>
  <c r="N41" i="10"/>
  <c r="O41" i="10" s="1"/>
  <c r="AI41" i="10" s="1"/>
  <c r="Q42" i="10"/>
  <c r="AJ39" i="10"/>
  <c r="N45" i="10"/>
  <c r="F54" i="10"/>
  <c r="O46" i="10"/>
  <c r="AI46" i="10" s="1"/>
  <c r="I54" i="10"/>
  <c r="I55" i="10" s="1"/>
  <c r="R16" i="11"/>
  <c r="AE16" i="11" s="1"/>
  <c r="AF16" i="11" s="1"/>
  <c r="Q18" i="11"/>
  <c r="Q19" i="11" s="1"/>
  <c r="R14" i="11"/>
  <c r="R15" i="11"/>
  <c r="AB15" i="11" s="1"/>
  <c r="AB18" i="11" s="1"/>
  <c r="AB19" i="11" s="1"/>
  <c r="AF17" i="11"/>
  <c r="AH17" i="11" s="1"/>
  <c r="F18" i="11"/>
  <c r="F19" i="11" s="1"/>
  <c r="M14" i="11"/>
  <c r="M15" i="11"/>
  <c r="N15" i="11" s="1"/>
  <c r="AG15" i="11" s="1"/>
  <c r="G16" i="11"/>
  <c r="N16" i="11" s="1"/>
  <c r="AG16" i="11" s="1"/>
  <c r="S25" i="10"/>
  <c r="AG25" i="10" s="1"/>
  <c r="R37" i="10"/>
  <c r="AG30" i="10"/>
  <c r="AG16" i="10"/>
  <c r="AH16" i="10" s="1"/>
  <c r="AJ16" i="10" s="1"/>
  <c r="AG48" i="10"/>
  <c r="AH48" i="10" s="1"/>
  <c r="AH34" i="10"/>
  <c r="AG34" i="10"/>
  <c r="AH38" i="10"/>
  <c r="AH43" i="10"/>
  <c r="R54" i="10"/>
  <c r="AG43" i="10"/>
  <c r="AG52" i="10"/>
  <c r="AH52" i="10" s="1"/>
  <c r="AJ52" i="10" s="1"/>
  <c r="AG53" i="10"/>
  <c r="AH53" i="10" s="1"/>
  <c r="S29" i="10"/>
  <c r="AG13" i="10"/>
  <c r="R29" i="10"/>
  <c r="Z13" i="10"/>
  <c r="AG14" i="10"/>
  <c r="AH14" i="10" s="1"/>
  <c r="R17" i="10"/>
  <c r="G19" i="10"/>
  <c r="N19" i="10" s="1"/>
  <c r="AG20" i="10"/>
  <c r="O21" i="10"/>
  <c r="AI21" i="10" s="1"/>
  <c r="AG21" i="10"/>
  <c r="AH21" i="10" s="1"/>
  <c r="AG22" i="10"/>
  <c r="AH22" i="10" s="1"/>
  <c r="AH23" i="10"/>
  <c r="N25" i="10"/>
  <c r="O25" i="10" s="1"/>
  <c r="AI25" i="10" s="1"/>
  <c r="AG26" i="10"/>
  <c r="AH26" i="10" s="1"/>
  <c r="O33" i="10"/>
  <c r="AI33" i="10" s="1"/>
  <c r="AH33" i="10"/>
  <c r="AI43" i="10"/>
  <c r="O44" i="10"/>
  <c r="AI44" i="10" s="1"/>
  <c r="AG44" i="10"/>
  <c r="AH44" i="10" s="1"/>
  <c r="AJ44" i="10" s="1"/>
  <c r="AG45" i="10"/>
  <c r="AH45" i="10" s="1"/>
  <c r="AG46" i="10"/>
  <c r="AH46" i="10" s="1"/>
  <c r="AG47" i="10"/>
  <c r="AH47" i="10" s="1"/>
  <c r="AH51" i="10"/>
  <c r="AH15" i="10"/>
  <c r="N32" i="10"/>
  <c r="O32" i="10" s="1"/>
  <c r="S12" i="10"/>
  <c r="O18" i="10"/>
  <c r="AH24" i="10" l="1"/>
  <c r="AJ24" i="10" s="1"/>
  <c r="O23" i="10"/>
  <c r="AI23" i="10" s="1"/>
  <c r="AJ31" i="10"/>
  <c r="AG32" i="10"/>
  <c r="AH32" i="10" s="1"/>
  <c r="AJ35" i="10"/>
  <c r="AJ23" i="10"/>
  <c r="AJ53" i="10"/>
  <c r="AH27" i="10"/>
  <c r="N37" i="10"/>
  <c r="AJ46" i="10"/>
  <c r="AH13" i="10"/>
  <c r="AJ13" i="10" s="1"/>
  <c r="N15" i="10"/>
  <c r="O15" i="10" s="1"/>
  <c r="AI15" i="10" s="1"/>
  <c r="AJ15" i="10" s="1"/>
  <c r="AJ34" i="10"/>
  <c r="AJ51" i="10"/>
  <c r="AJ47" i="10"/>
  <c r="AJ27" i="10"/>
  <c r="S17" i="10"/>
  <c r="S55" i="10" s="1"/>
  <c r="AA12" i="10"/>
  <c r="AA17" i="10" s="1"/>
  <c r="AA55" i="10" s="1"/>
  <c r="AH20" i="10"/>
  <c r="AJ20" i="10" s="1"/>
  <c r="AJ21" i="10"/>
  <c r="Z17" i="10"/>
  <c r="Z55" i="10" s="1"/>
  <c r="AH25" i="10"/>
  <c r="AJ25" i="10" s="1"/>
  <c r="M18" i="11"/>
  <c r="M19" i="11" s="1"/>
  <c r="AE15" i="11"/>
  <c r="AF15" i="11" s="1"/>
  <c r="AH15" i="11" s="1"/>
  <c r="AJ36" i="10"/>
  <c r="AJ48" i="10"/>
  <c r="O45" i="10"/>
  <c r="AI45" i="10" s="1"/>
  <c r="AI54" i="10" s="1"/>
  <c r="N54" i="10"/>
  <c r="N14" i="10"/>
  <c r="O14" i="10" s="1"/>
  <c r="AI14" i="10" s="1"/>
  <c r="AJ14" i="10" s="1"/>
  <c r="O28" i="10"/>
  <c r="AI28" i="10" s="1"/>
  <c r="N22" i="10"/>
  <c r="O22" i="10" s="1"/>
  <c r="AH41" i="10"/>
  <c r="AJ41" i="10" s="1"/>
  <c r="AG42" i="10"/>
  <c r="N26" i="10"/>
  <c r="O26" i="10" s="1"/>
  <c r="AI26" i="10" s="1"/>
  <c r="AJ26" i="10" s="1"/>
  <c r="F55" i="10"/>
  <c r="AJ33" i="10"/>
  <c r="AG37" i="10"/>
  <c r="AG28" i="10"/>
  <c r="AH28" i="10" s="1"/>
  <c r="O42" i="10"/>
  <c r="AI40" i="10"/>
  <c r="AJ40" i="10" s="1"/>
  <c r="G17" i="10"/>
  <c r="N12" i="10"/>
  <c r="N42" i="10"/>
  <c r="G18" i="11"/>
  <c r="G19" i="11" s="1"/>
  <c r="R18" i="11"/>
  <c r="R19" i="11" s="1"/>
  <c r="R55" i="10"/>
  <c r="AH16" i="11"/>
  <c r="AE14" i="11"/>
  <c r="N14" i="11"/>
  <c r="AI32" i="10"/>
  <c r="O37" i="10"/>
  <c r="AH54" i="10"/>
  <c r="AJ43" i="10"/>
  <c r="G29" i="10"/>
  <c r="AI18" i="10"/>
  <c r="AJ18" i="10" s="1"/>
  <c r="AG12" i="10"/>
  <c r="AG17" i="10" s="1"/>
  <c r="AG54" i="10"/>
  <c r="O19" i="10"/>
  <c r="AI19" i="10" s="1"/>
  <c r="AJ19" i="10" s="1"/>
  <c r="AH30" i="10"/>
  <c r="AJ38" i="10"/>
  <c r="AI42" i="10" l="1"/>
  <c r="N29" i="10"/>
  <c r="AJ28" i="10"/>
  <c r="AH29" i="10"/>
  <c r="AI22" i="10"/>
  <c r="AJ22" i="10" s="1"/>
  <c r="O29" i="10"/>
  <c r="N17" i="10"/>
  <c r="N55" i="10" s="1"/>
  <c r="O12" i="10"/>
  <c r="AJ42" i="10"/>
  <c r="AH42" i="10"/>
  <c r="O54" i="10"/>
  <c r="AE18" i="11"/>
  <c r="AE19" i="11" s="1"/>
  <c r="AJ45" i="10"/>
  <c r="AG29" i="10"/>
  <c r="AH12" i="10"/>
  <c r="G55" i="10"/>
  <c r="AJ54" i="10"/>
  <c r="AF14" i="11"/>
  <c r="AG55" i="10"/>
  <c r="AG14" i="11"/>
  <c r="AG18" i="11" s="1"/>
  <c r="AG19" i="11" s="1"/>
  <c r="N18" i="11"/>
  <c r="N19" i="11" s="1"/>
  <c r="AF18" i="11"/>
  <c r="AF19" i="11" s="1"/>
  <c r="AH17" i="10"/>
  <c r="AH55" i="10" s="1"/>
  <c r="AI37" i="10"/>
  <c r="AJ32" i="10"/>
  <c r="AH37" i="10"/>
  <c r="AJ30" i="10"/>
  <c r="AJ37" i="10" s="1"/>
  <c r="AJ29" i="10" l="1"/>
  <c r="AI29" i="10"/>
  <c r="AJ12" i="10"/>
  <c r="AJ17" i="10" s="1"/>
  <c r="AK54" i="10"/>
  <c r="O17" i="10"/>
  <c r="O55" i="10" s="1"/>
  <c r="AI12" i="10"/>
  <c r="AI17" i="10" s="1"/>
  <c r="AI55" i="10" s="1"/>
  <c r="AH14" i="11"/>
  <c r="AH18" i="11" s="1"/>
  <c r="AJ55" i="10" l="1"/>
  <c r="AK17" i="10"/>
  <c r="AH19" i="11"/>
</calcChain>
</file>

<file path=xl/sharedStrings.xml><?xml version="1.0" encoding="utf-8"?>
<sst xmlns="http://schemas.openxmlformats.org/spreadsheetml/2006/main" count="227" uniqueCount="106">
  <si>
    <t xml:space="preserve">Штатное расписание  </t>
  </si>
  <si>
    <t>Должность</t>
  </si>
  <si>
    <t>Кол-во единиц</t>
  </si>
  <si>
    <t>Стаж работы</t>
  </si>
  <si>
    <t>Звено, ступень по блокам, разряд</t>
  </si>
  <si>
    <t>Тарифная ставка</t>
  </si>
  <si>
    <t>ФЗП месяц</t>
  </si>
  <si>
    <t>Повышение за работу в сельской местности</t>
  </si>
  <si>
    <t>Доплаты</t>
  </si>
  <si>
    <t>Надбавки</t>
  </si>
  <si>
    <t>Итого ФОТ в месяц</t>
  </si>
  <si>
    <t xml:space="preserve">За работу с детьми с особыми образовательными потребностями, обучающимися </t>
  </si>
  <si>
    <t>За работу с вредными и опасными условиями труда, за работу в ночное время, в выходные и праздничные дни</t>
  </si>
  <si>
    <t>За статус "Старший"</t>
  </si>
  <si>
    <t>За классную квалификацию</t>
  </si>
  <si>
    <t>За особые условия труда 10%</t>
  </si>
  <si>
    <t>За работу с детьми с особыми образовательными потребностями</t>
  </si>
  <si>
    <t>За квалификационную категорию</t>
  </si>
  <si>
    <t>А1-2</t>
  </si>
  <si>
    <t>Итого управленческий персонал</t>
  </si>
  <si>
    <t>Итого основной персонал</t>
  </si>
  <si>
    <t>Итого административный персонал</t>
  </si>
  <si>
    <t>Итого вспомогательный персонал</t>
  </si>
  <si>
    <t>Итого рабочие</t>
  </si>
  <si>
    <t>ВСЕГО</t>
  </si>
  <si>
    <t>Руководителям и заместителям руководителей</t>
  </si>
  <si>
    <t>1- категория</t>
  </si>
  <si>
    <t>2- категория</t>
  </si>
  <si>
    <t>3- категория</t>
  </si>
  <si>
    <t xml:space="preserve">Итого ФОТ в месяц с учетом поправочного коэффициента </t>
  </si>
  <si>
    <t>Медицинская сестра (фельдшер)</t>
  </si>
  <si>
    <t>Гл.бухгалтер</t>
  </si>
  <si>
    <t>А1-2-1</t>
  </si>
  <si>
    <t>А2-2</t>
  </si>
  <si>
    <t>В4-4</t>
  </si>
  <si>
    <t>В2-3</t>
  </si>
  <si>
    <t>В1-5</t>
  </si>
  <si>
    <t>В3-3</t>
  </si>
  <si>
    <t>В3-4</t>
  </si>
  <si>
    <t>Библиотекарь</t>
  </si>
  <si>
    <t>С2</t>
  </si>
  <si>
    <t>С3</t>
  </si>
  <si>
    <t>Шеф-повар</t>
  </si>
  <si>
    <t>D</t>
  </si>
  <si>
    <t>За организацию производственного обучения</t>
  </si>
  <si>
    <t>За работу с библиотечным фондом</t>
  </si>
  <si>
    <t>Слесарь-сантехник</t>
  </si>
  <si>
    <t>В1-4</t>
  </si>
  <si>
    <t xml:space="preserve"> КГКП "Денисовский професионально-технический колледж" Управления образования акимата Костанайской области
</t>
  </si>
  <si>
    <t xml:space="preserve">Бухгалтер </t>
  </si>
  <si>
    <t>7-10 лет</t>
  </si>
  <si>
    <t>свыше 25 лет</t>
  </si>
  <si>
    <t>13-16 лет</t>
  </si>
  <si>
    <t>10-13 лет</t>
  </si>
  <si>
    <t xml:space="preserve">Водитель </t>
  </si>
  <si>
    <t>с 12 до16 лет</t>
  </si>
  <si>
    <t xml:space="preserve">свыше 25 лет </t>
  </si>
  <si>
    <t xml:space="preserve">Лаборант </t>
  </si>
  <si>
    <t>Заместитель директора по учебной работе</t>
  </si>
  <si>
    <t>Заместитель директора по учебно-воспитательной работе</t>
  </si>
  <si>
    <t>Секретарь (делопроизводитель)</t>
  </si>
  <si>
    <t>3-5 лет</t>
  </si>
  <si>
    <t>16-20 лет</t>
  </si>
  <si>
    <t xml:space="preserve">Педагог- психолог </t>
  </si>
  <si>
    <t xml:space="preserve">Менеджер по госзакупкам </t>
  </si>
  <si>
    <t xml:space="preserve">Комендант </t>
  </si>
  <si>
    <t xml:space="preserve">Оператор стиральных машин </t>
  </si>
  <si>
    <t xml:space="preserve">Кухонный работник </t>
  </si>
  <si>
    <t xml:space="preserve">Преподаватель-организатор по начальной военной подготовке </t>
  </si>
  <si>
    <t>Механик</t>
  </si>
  <si>
    <t xml:space="preserve">Рабочий по обслуживанию и текущему ремонту зданий </t>
  </si>
  <si>
    <t>Специалист по программному обеспечению</t>
  </si>
  <si>
    <t xml:space="preserve"> 16-20 лет</t>
  </si>
  <si>
    <t xml:space="preserve">  1 сентября 2023 года</t>
  </si>
  <si>
    <t>6-9</t>
  </si>
  <si>
    <t>до года</t>
  </si>
  <si>
    <t>1 категория 100%</t>
  </si>
  <si>
    <t>2 категория 50%</t>
  </si>
  <si>
    <t>3 категория 30%</t>
  </si>
  <si>
    <t>Педагог-мастер 50%</t>
  </si>
  <si>
    <t>Педагог-исследователь 40%</t>
  </si>
  <si>
    <t>Педагог-эксперт 35%</t>
  </si>
  <si>
    <t>Педагог-модератор 30%</t>
  </si>
  <si>
    <t>20-25 л</t>
  </si>
  <si>
    <t>В2-4</t>
  </si>
  <si>
    <t xml:space="preserve">Методист </t>
  </si>
  <si>
    <t xml:space="preserve">Мастер производственного обучения </t>
  </si>
  <si>
    <t>Директор</t>
  </si>
  <si>
    <t xml:space="preserve">Заместитель директора по учебно- производственной работе </t>
  </si>
  <si>
    <t xml:space="preserve">Мастер производственного обучения  </t>
  </si>
  <si>
    <t>Методист вакант</t>
  </si>
  <si>
    <t xml:space="preserve">Социальный педагог  </t>
  </si>
  <si>
    <t xml:space="preserve">Воспитатель </t>
  </si>
  <si>
    <t xml:space="preserve">Инспектор по кадрам </t>
  </si>
  <si>
    <t xml:space="preserve">Заведующий хозяйством </t>
  </si>
  <si>
    <t xml:space="preserve">Сторож </t>
  </si>
  <si>
    <t xml:space="preserve">Уборщик </t>
  </si>
  <si>
    <t xml:space="preserve">Вахтер </t>
  </si>
  <si>
    <t xml:space="preserve">Электрик </t>
  </si>
  <si>
    <t xml:space="preserve">Повар </t>
  </si>
  <si>
    <t xml:space="preserve">Переводчик </t>
  </si>
  <si>
    <t>Тарифная ставка с учетом поправочного коэффициента     (пед.- 2,0;прочие - 1,45)</t>
  </si>
  <si>
    <t>Тарифная ставка с учетом поправочного коэффициента (пед.- 2,0; мед.- 2,05; прочие - 1,45)</t>
  </si>
  <si>
    <t xml:space="preserve">За работу с детьми с ООП, обучающимися </t>
  </si>
  <si>
    <t>ФОТ (без поправочного коэффициента)</t>
  </si>
  <si>
    <t>ФОТ в месяц (с поправочным коэффициентом)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</si>
</sst>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164" formatCode="_-* #,##0.00_р_._-;\-* #,##0.00_р_._-;_-* &quot;-&quot;??_р_._-;_-@_-"/>
    <numFmt numFmtId="165" formatCode="0.0"/>
    <numFmt numFmtId="166" formatCode="#,##0.0"/>
    <numFmt numFmtId="167" formatCode="#,##0\ _₽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/>
  </cellStyleXfs>
  <cellXfs count="125">
    <xf numFmtId="0" fontId="0" fillId="0" borderId="0" xfId="0"/>
    <xf numFmtId="3" fontId="8" fillId="0" borderId="6" xfId="1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wrapText="1"/>
    </xf>
    <xf numFmtId="167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/>
    <xf numFmtId="1" fontId="13" fillId="0" borderId="0" xfId="0" applyNumberFormat="1" applyFont="1" applyFill="1"/>
    <xf numFmtId="1" fontId="2" fillId="0" borderId="0" xfId="0" applyNumberFormat="1" applyFont="1" applyFill="1"/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49" fontId="8" fillId="0" borderId="6" xfId="3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8" fillId="0" borderId="6" xfId="3" applyNumberFormat="1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Alignment="1">
      <alignment vertical="top" wrapText="1"/>
    </xf>
    <xf numFmtId="0" fontId="2" fillId="0" borderId="0" xfId="2" applyFont="1" applyFill="1" applyAlignment="1">
      <alignment wrapText="1"/>
    </xf>
    <xf numFmtId="2" fontId="8" fillId="0" borderId="0" xfId="3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1" xfId="0" applyFont="1" applyFill="1" applyBorder="1"/>
    <xf numFmtId="0" fontId="7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166" fontId="2" fillId="0" borderId="0" xfId="0" applyNumberFormat="1" applyFont="1" applyFill="1"/>
    <xf numFmtId="167" fontId="2" fillId="0" borderId="0" xfId="0" applyNumberFormat="1" applyFont="1" applyFill="1"/>
    <xf numFmtId="167" fontId="8" fillId="0" borderId="6" xfId="3" applyNumberFormat="1" applyFont="1" applyFill="1" applyBorder="1" applyAlignment="1">
      <alignment horizontal="center" vertical="center"/>
    </xf>
    <xf numFmtId="165" fontId="8" fillId="0" borderId="6" xfId="3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41" fontId="8" fillId="0" borderId="6" xfId="3" applyNumberFormat="1" applyFont="1" applyFill="1" applyBorder="1" applyAlignment="1">
      <alignment horizontal="center" vertical="center"/>
    </xf>
    <xf numFmtId="41" fontId="8" fillId="0" borderId="6" xfId="1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67" fontId="8" fillId="0" borderId="6" xfId="1" applyNumberFormat="1" applyFont="1" applyFill="1" applyBorder="1" applyAlignment="1">
      <alignment horizontal="center" vertical="center"/>
    </xf>
    <xf numFmtId="167" fontId="8" fillId="0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center" vertical="center" wrapText="1"/>
    </xf>
    <xf numFmtId="167" fontId="8" fillId="0" borderId="8" xfId="0" applyNumberFormat="1" applyFont="1" applyFill="1" applyBorder="1" applyAlignment="1">
      <alignment horizontal="center" vertical="center"/>
    </xf>
    <xf numFmtId="167" fontId="11" fillId="0" borderId="6" xfId="3" applyNumberFormat="1" applyFont="1" applyFill="1" applyBorder="1" applyAlignment="1">
      <alignment horizontal="center" vertical="center"/>
    </xf>
    <xf numFmtId="0" fontId="8" fillId="0" borderId="6" xfId="3" applyNumberFormat="1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/>
    </xf>
    <xf numFmtId="167" fontId="10" fillId="0" borderId="6" xfId="3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3" fontId="8" fillId="0" borderId="6" xfId="3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7" fontId="6" fillId="0" borderId="6" xfId="0" applyNumberFormat="1" applyFont="1" applyFill="1" applyBorder="1" applyAlignment="1">
      <alignment horizontal="center" vertical="center"/>
    </xf>
    <xf numFmtId="37" fontId="2" fillId="0" borderId="0" xfId="0" applyNumberFormat="1" applyFont="1" applyFill="1"/>
    <xf numFmtId="3" fontId="15" fillId="0" borderId="0" xfId="0" applyNumberFormat="1" applyFont="1" applyFill="1"/>
    <xf numFmtId="9" fontId="2" fillId="0" borderId="0" xfId="0" applyNumberFormat="1" applyFont="1" applyFill="1"/>
    <xf numFmtId="167" fontId="4" fillId="0" borderId="0" xfId="0" applyNumberFormat="1" applyFont="1" applyFill="1"/>
    <xf numFmtId="0" fontId="8" fillId="0" borderId="6" xfId="3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horizontal="center"/>
    </xf>
    <xf numFmtId="0" fontId="8" fillId="0" borderId="6" xfId="3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1" fontId="8" fillId="0" borderId="6" xfId="3" applyNumberFormat="1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vertical="center"/>
    </xf>
    <xf numFmtId="0" fontId="10" fillId="0" borderId="6" xfId="3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" fontId="4" fillId="0" borderId="0" xfId="0" applyNumberFormat="1" applyFont="1" applyFill="1"/>
    <xf numFmtId="0" fontId="6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1" xfId="3"/>
    <cellStyle name="Обычный_тарификация 2010-2011 уч.год" xfId="2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topLeftCell="A37" zoomScaleSheetLayoutView="40" workbookViewId="0">
      <selection activeCell="A64" sqref="A64"/>
    </sheetView>
  </sheetViews>
  <sheetFormatPr defaultColWidth="14.140625" defaultRowHeight="12.75" x14ac:dyDescent="0.2"/>
  <cols>
    <col min="1" max="1" width="33.7109375" style="7" customWidth="1"/>
    <col min="2" max="2" width="8.140625" style="9" customWidth="1"/>
    <col min="3" max="3" width="13.85546875" style="9" customWidth="1"/>
    <col min="4" max="4" width="12.5703125" style="9" customWidth="1"/>
    <col min="5" max="5" width="10" style="9" customWidth="1"/>
    <col min="6" max="6" width="12.140625" style="9" customWidth="1"/>
    <col min="7" max="7" width="12.42578125" style="9" customWidth="1"/>
    <col min="8" max="8" width="15.42578125" style="9" customWidth="1"/>
    <col min="9" max="9" width="10.140625" style="9" customWidth="1"/>
    <col min="10" max="11" width="8.28515625" style="9" customWidth="1"/>
    <col min="12" max="12" width="10.5703125" style="9" customWidth="1"/>
    <col min="13" max="13" width="7.140625" style="9" customWidth="1"/>
    <col min="14" max="14" width="11.5703125" style="9" customWidth="1"/>
    <col min="15" max="15" width="13.42578125" style="9" customWidth="1"/>
    <col min="16" max="16" width="9.7109375" style="9" customWidth="1"/>
    <col min="17" max="17" width="12.5703125" style="9" customWidth="1"/>
    <col min="18" max="18" width="11.28515625" style="9" customWidth="1"/>
    <col min="19" max="19" width="9.5703125" style="9" customWidth="1"/>
    <col min="20" max="20" width="11.5703125" style="9" hidden="1" customWidth="1"/>
    <col min="21" max="21" width="15.140625" style="9" customWidth="1"/>
    <col min="22" max="22" width="1.7109375" style="9" hidden="1" customWidth="1"/>
    <col min="23" max="23" width="8.42578125" style="9" customWidth="1"/>
    <col min="24" max="24" width="9.5703125" style="9" customWidth="1"/>
    <col min="25" max="25" width="7.7109375" style="9" customWidth="1"/>
    <col min="26" max="26" width="10.28515625" style="9" customWidth="1"/>
    <col min="27" max="27" width="10.140625" style="9" customWidth="1"/>
    <col min="28" max="28" width="5.42578125" style="9" customWidth="1"/>
    <col min="29" max="29" width="7" style="9" customWidth="1"/>
    <col min="30" max="30" width="8.5703125" style="9" customWidth="1"/>
    <col min="31" max="31" width="7.28515625" style="9" customWidth="1"/>
    <col min="32" max="32" width="7.28515625" style="9" hidden="1" customWidth="1"/>
    <col min="33" max="33" width="10.5703125" style="9" customWidth="1"/>
    <col min="34" max="34" width="12.140625" style="9" customWidth="1"/>
    <col min="35" max="35" width="12" style="9" customWidth="1"/>
    <col min="36" max="36" width="11.5703125" style="9" customWidth="1"/>
    <col min="37" max="16384" width="14.140625" style="9"/>
  </cols>
  <sheetData>
    <row r="1" spans="1:36" ht="20.25" customHeight="1" x14ac:dyDescent="0.25">
      <c r="B1" s="24"/>
      <c r="C1" s="23"/>
      <c r="P1" s="25"/>
      <c r="Q1" s="24"/>
      <c r="R1" s="23"/>
      <c r="AD1" s="19"/>
      <c r="AE1" s="19"/>
      <c r="AF1" s="19"/>
      <c r="AG1" s="19"/>
      <c r="AH1" s="19"/>
      <c r="AI1" s="25"/>
    </row>
    <row r="2" spans="1:36" ht="14.25" customHeight="1" x14ac:dyDescent="0.2">
      <c r="B2" s="20"/>
      <c r="C2" s="20"/>
      <c r="D2" s="20"/>
      <c r="E2" s="20"/>
      <c r="F2" s="21"/>
      <c r="G2" s="105"/>
      <c r="H2" s="105"/>
      <c r="I2" s="105"/>
      <c r="J2" s="105"/>
      <c r="K2" s="105"/>
      <c r="L2" s="105"/>
      <c r="M2" s="105"/>
    </row>
    <row r="3" spans="1:36" ht="15.75" customHeight="1" x14ac:dyDescent="0.2">
      <c r="A3" s="53"/>
      <c r="B3" s="27"/>
      <c r="C3" s="27"/>
      <c r="D3" s="27"/>
      <c r="E3" s="27"/>
      <c r="F3" s="106" t="s">
        <v>0</v>
      </c>
      <c r="G3" s="106"/>
      <c r="H3" s="106"/>
      <c r="I3" s="106"/>
      <c r="J3" s="106"/>
      <c r="K3" s="106"/>
      <c r="L3" s="106"/>
      <c r="M3" s="106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ht="15.75" customHeight="1" x14ac:dyDescent="0.2">
      <c r="A4" s="28"/>
      <c r="B4" s="28"/>
      <c r="C4" s="28"/>
      <c r="D4" s="28"/>
      <c r="E4" s="28"/>
      <c r="F4" s="107" t="s">
        <v>48</v>
      </c>
      <c r="G4" s="107"/>
      <c r="H4" s="107"/>
      <c r="I4" s="107"/>
      <c r="J4" s="107"/>
      <c r="K4" s="107"/>
      <c r="L4" s="107"/>
      <c r="M4" s="10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15.75" x14ac:dyDescent="0.2">
      <c r="B5" s="29"/>
      <c r="C5" s="29"/>
      <c r="D5" s="29"/>
      <c r="E5" s="29"/>
      <c r="F5" s="101" t="s">
        <v>73</v>
      </c>
      <c r="G5" s="101"/>
      <c r="H5" s="101"/>
      <c r="I5" s="101"/>
      <c r="J5" s="101"/>
      <c r="K5" s="101"/>
      <c r="L5" s="101"/>
      <c r="M5" s="101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x14ac:dyDescent="0.2">
      <c r="A6" s="5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36" s="31" customFormat="1" ht="30" customHeight="1" x14ac:dyDescent="0.2">
      <c r="A7" s="94" t="s">
        <v>1</v>
      </c>
      <c r="B7" s="94" t="s">
        <v>2</v>
      </c>
      <c r="C7" s="94" t="s">
        <v>3</v>
      </c>
      <c r="D7" s="94" t="s">
        <v>4</v>
      </c>
      <c r="E7" s="94" t="s">
        <v>5</v>
      </c>
      <c r="F7" s="102" t="s">
        <v>6</v>
      </c>
      <c r="G7" s="94" t="s">
        <v>7</v>
      </c>
      <c r="H7" s="98" t="s">
        <v>8</v>
      </c>
      <c r="I7" s="99"/>
      <c r="J7" s="100"/>
      <c r="K7" s="75"/>
      <c r="L7" s="75"/>
      <c r="M7" s="92" t="s">
        <v>9</v>
      </c>
      <c r="N7" s="93"/>
      <c r="O7" s="94" t="s">
        <v>10</v>
      </c>
      <c r="P7" s="83" t="s">
        <v>4</v>
      </c>
      <c r="Q7" s="83" t="s">
        <v>102</v>
      </c>
      <c r="R7" s="83" t="s">
        <v>6</v>
      </c>
      <c r="S7" s="83" t="s">
        <v>7</v>
      </c>
      <c r="T7" s="98" t="s">
        <v>8</v>
      </c>
      <c r="U7" s="99"/>
      <c r="V7" s="99"/>
      <c r="W7" s="99"/>
      <c r="X7" s="99"/>
      <c r="Y7" s="99"/>
      <c r="Z7" s="99"/>
      <c r="AA7" s="99"/>
      <c r="AB7" s="99"/>
      <c r="AC7" s="99"/>
      <c r="AD7" s="99"/>
      <c r="AE7" s="100"/>
      <c r="AF7" s="92" t="s">
        <v>9</v>
      </c>
      <c r="AG7" s="93"/>
      <c r="AH7" s="94" t="s">
        <v>29</v>
      </c>
      <c r="AI7" s="97" t="s">
        <v>104</v>
      </c>
      <c r="AJ7" s="97" t="s">
        <v>105</v>
      </c>
    </row>
    <row r="8" spans="1:36" s="55" customFormat="1" ht="21.75" customHeight="1" x14ac:dyDescent="0.25">
      <c r="A8" s="95"/>
      <c r="B8" s="95"/>
      <c r="C8" s="95"/>
      <c r="D8" s="95"/>
      <c r="E8" s="95"/>
      <c r="F8" s="103"/>
      <c r="G8" s="95"/>
      <c r="H8" s="83" t="s">
        <v>11</v>
      </c>
      <c r="I8" s="82" t="s">
        <v>12</v>
      </c>
      <c r="J8" s="83" t="s">
        <v>13</v>
      </c>
      <c r="K8" s="83" t="s">
        <v>45</v>
      </c>
      <c r="L8" s="83" t="s">
        <v>44</v>
      </c>
      <c r="M8" s="83" t="s">
        <v>14</v>
      </c>
      <c r="N8" s="83" t="s">
        <v>15</v>
      </c>
      <c r="O8" s="95"/>
      <c r="P8" s="84"/>
      <c r="Q8" s="84"/>
      <c r="R8" s="84"/>
      <c r="S8" s="84"/>
      <c r="T8" s="83" t="s">
        <v>16</v>
      </c>
      <c r="U8" s="82" t="s">
        <v>12</v>
      </c>
      <c r="V8" s="83" t="s">
        <v>13</v>
      </c>
      <c r="W8" s="83" t="s">
        <v>45</v>
      </c>
      <c r="X8" s="83" t="s">
        <v>44</v>
      </c>
      <c r="Y8" s="82" t="s">
        <v>17</v>
      </c>
      <c r="Z8" s="82"/>
      <c r="AA8" s="82"/>
      <c r="AB8" s="82"/>
      <c r="AC8" s="82"/>
      <c r="AD8" s="82"/>
      <c r="AE8" s="82"/>
      <c r="AF8" s="82" t="s">
        <v>14</v>
      </c>
      <c r="AG8" s="83" t="s">
        <v>15</v>
      </c>
      <c r="AH8" s="95"/>
      <c r="AI8" s="97"/>
      <c r="AJ8" s="97"/>
    </row>
    <row r="9" spans="1:36" s="55" customFormat="1" ht="15.75" customHeight="1" x14ac:dyDescent="0.25">
      <c r="A9" s="95"/>
      <c r="B9" s="95"/>
      <c r="C9" s="95"/>
      <c r="D9" s="95"/>
      <c r="E9" s="95"/>
      <c r="F9" s="103"/>
      <c r="G9" s="95"/>
      <c r="H9" s="84"/>
      <c r="I9" s="82"/>
      <c r="J9" s="84"/>
      <c r="K9" s="90"/>
      <c r="L9" s="90"/>
      <c r="M9" s="84"/>
      <c r="N9" s="84"/>
      <c r="O9" s="95"/>
      <c r="P9" s="84"/>
      <c r="Q9" s="84"/>
      <c r="R9" s="84"/>
      <c r="S9" s="84"/>
      <c r="T9" s="84"/>
      <c r="U9" s="82"/>
      <c r="V9" s="84"/>
      <c r="W9" s="90"/>
      <c r="X9" s="90"/>
      <c r="Y9" s="86" t="s">
        <v>76</v>
      </c>
      <c r="Z9" s="86" t="s">
        <v>77</v>
      </c>
      <c r="AA9" s="86" t="s">
        <v>78</v>
      </c>
      <c r="AB9" s="88" t="s">
        <v>79</v>
      </c>
      <c r="AC9" s="88" t="s">
        <v>80</v>
      </c>
      <c r="AD9" s="88" t="s">
        <v>81</v>
      </c>
      <c r="AE9" s="88" t="s">
        <v>82</v>
      </c>
      <c r="AF9" s="82"/>
      <c r="AG9" s="84"/>
      <c r="AH9" s="95"/>
      <c r="AI9" s="97"/>
      <c r="AJ9" s="97"/>
    </row>
    <row r="10" spans="1:36" s="55" customFormat="1" ht="126.75" customHeight="1" x14ac:dyDescent="0.25">
      <c r="A10" s="96"/>
      <c r="B10" s="96"/>
      <c r="C10" s="96"/>
      <c r="D10" s="96"/>
      <c r="E10" s="96"/>
      <c r="F10" s="104"/>
      <c r="G10" s="96"/>
      <c r="H10" s="85"/>
      <c r="I10" s="82"/>
      <c r="J10" s="85"/>
      <c r="K10" s="91"/>
      <c r="L10" s="90"/>
      <c r="M10" s="84"/>
      <c r="N10" s="85"/>
      <c r="O10" s="96"/>
      <c r="P10" s="85"/>
      <c r="Q10" s="85"/>
      <c r="R10" s="85"/>
      <c r="S10" s="85"/>
      <c r="T10" s="85"/>
      <c r="U10" s="82"/>
      <c r="V10" s="85"/>
      <c r="W10" s="91"/>
      <c r="X10" s="90"/>
      <c r="Y10" s="87"/>
      <c r="Z10" s="87"/>
      <c r="AA10" s="87"/>
      <c r="AB10" s="89"/>
      <c r="AC10" s="89"/>
      <c r="AD10" s="89"/>
      <c r="AE10" s="89"/>
      <c r="AF10" s="82"/>
      <c r="AG10" s="85"/>
      <c r="AH10" s="96"/>
      <c r="AI10" s="97"/>
      <c r="AJ10" s="97"/>
    </row>
    <row r="11" spans="1:36" s="31" customFormat="1" ht="16.5" customHeight="1" x14ac:dyDescent="0.2">
      <c r="A11" s="73">
        <v>1</v>
      </c>
      <c r="B11" s="73">
        <v>2</v>
      </c>
      <c r="C11" s="73">
        <v>3</v>
      </c>
      <c r="D11" s="32">
        <v>4</v>
      </c>
      <c r="E11" s="73">
        <v>5</v>
      </c>
      <c r="F11" s="73">
        <v>6</v>
      </c>
      <c r="G11" s="32">
        <v>7</v>
      </c>
      <c r="H11" s="73">
        <v>8</v>
      </c>
      <c r="I11" s="73">
        <v>8</v>
      </c>
      <c r="J11" s="56">
        <v>10</v>
      </c>
      <c r="K11" s="56">
        <v>9</v>
      </c>
      <c r="L11" s="56">
        <v>10</v>
      </c>
      <c r="M11" s="56">
        <v>11</v>
      </c>
      <c r="N11" s="56">
        <v>12</v>
      </c>
      <c r="O11" s="56">
        <v>13</v>
      </c>
      <c r="P11" s="56">
        <v>14</v>
      </c>
      <c r="Q11" s="56">
        <v>15</v>
      </c>
      <c r="R11" s="56">
        <v>16</v>
      </c>
      <c r="S11" s="56">
        <v>17</v>
      </c>
      <c r="T11" s="56">
        <v>2</v>
      </c>
      <c r="U11" s="56">
        <v>18</v>
      </c>
      <c r="V11" s="56">
        <v>21</v>
      </c>
      <c r="W11" s="56">
        <v>19</v>
      </c>
      <c r="X11" s="56">
        <v>20</v>
      </c>
      <c r="Y11" s="56">
        <v>21</v>
      </c>
      <c r="Z11" s="56">
        <v>22</v>
      </c>
      <c r="AA11" s="56">
        <v>23</v>
      </c>
      <c r="AB11" s="56">
        <v>24</v>
      </c>
      <c r="AC11" s="56">
        <v>25</v>
      </c>
      <c r="AD11" s="56">
        <v>26</v>
      </c>
      <c r="AE11" s="56">
        <v>27</v>
      </c>
      <c r="AF11" s="56">
        <v>28</v>
      </c>
      <c r="AG11" s="56">
        <v>28</v>
      </c>
      <c r="AH11" s="56">
        <v>29</v>
      </c>
      <c r="AI11" s="56">
        <v>30</v>
      </c>
      <c r="AJ11" s="56">
        <v>31</v>
      </c>
    </row>
    <row r="12" spans="1:36" s="31" customFormat="1" ht="21" customHeight="1" x14ac:dyDescent="0.2">
      <c r="A12" s="65" t="s">
        <v>87</v>
      </c>
      <c r="B12" s="73">
        <v>1</v>
      </c>
      <c r="C12" s="56" t="s">
        <v>55</v>
      </c>
      <c r="D12" s="56" t="s">
        <v>18</v>
      </c>
      <c r="E12" s="1">
        <v>113261</v>
      </c>
      <c r="F12" s="1">
        <f>E12*B12</f>
        <v>113261</v>
      </c>
      <c r="G12" s="1">
        <f>F12*0.25</f>
        <v>28315.25</v>
      </c>
      <c r="H12" s="1"/>
      <c r="I12" s="1"/>
      <c r="J12" s="1"/>
      <c r="K12" s="1"/>
      <c r="L12" s="1"/>
      <c r="M12" s="1"/>
      <c r="N12" s="1">
        <f>(F12+G12)*10%</f>
        <v>14157.625</v>
      </c>
      <c r="O12" s="1">
        <f>SUM(F12+G12+H12+I12+M12+N12+J12)</f>
        <v>155733.875</v>
      </c>
      <c r="P12" s="56" t="s">
        <v>18</v>
      </c>
      <c r="Q12" s="1">
        <f>E12*2</f>
        <v>226522</v>
      </c>
      <c r="R12" s="1">
        <f>Q12*B12</f>
        <v>226522</v>
      </c>
      <c r="S12" s="1">
        <f>R12*0.25</f>
        <v>56630.5</v>
      </c>
      <c r="T12" s="1"/>
      <c r="U12" s="1"/>
      <c r="V12" s="1"/>
      <c r="W12" s="1"/>
      <c r="X12" s="1"/>
      <c r="Y12" s="1"/>
      <c r="Z12" s="1"/>
      <c r="AA12" s="1">
        <f>(R12+S12)*30%</f>
        <v>84945.75</v>
      </c>
      <c r="AB12" s="1"/>
      <c r="AC12" s="1"/>
      <c r="AD12" s="1"/>
      <c r="AE12" s="1"/>
      <c r="AF12" s="1"/>
      <c r="AG12" s="1">
        <f>(R12+S12)*10%</f>
        <v>28315.25</v>
      </c>
      <c r="AH12" s="1">
        <f>SUM(R12+S12+T12+U12+AB12+AC12+AD12+AE12+AF12+AG12+Y12+Z12+AA12+V12)</f>
        <v>396413.5</v>
      </c>
      <c r="AI12" s="5">
        <f>O12</f>
        <v>155733.875</v>
      </c>
      <c r="AJ12" s="5">
        <f>AH12-AI12</f>
        <v>240679.625</v>
      </c>
    </row>
    <row r="13" spans="1:36" s="31" customFormat="1" ht="30" customHeight="1" x14ac:dyDescent="0.2">
      <c r="A13" s="68" t="s">
        <v>58</v>
      </c>
      <c r="B13" s="73">
        <v>1</v>
      </c>
      <c r="C13" s="18" t="s">
        <v>56</v>
      </c>
      <c r="D13" s="18" t="s">
        <v>32</v>
      </c>
      <c r="E13" s="57">
        <v>116800</v>
      </c>
      <c r="F13" s="1">
        <f t="shared" ref="F13:F16" si="0">E13*B13</f>
        <v>116800</v>
      </c>
      <c r="G13" s="1">
        <f t="shared" ref="G13:G15" si="1">F13*0.25</f>
        <v>29200</v>
      </c>
      <c r="H13" s="1"/>
      <c r="I13" s="1"/>
      <c r="J13" s="1"/>
      <c r="K13" s="1"/>
      <c r="L13" s="1"/>
      <c r="M13" s="1"/>
      <c r="N13" s="1">
        <f t="shared" ref="N13:N15" si="2">(F13+G13)*10%</f>
        <v>14600</v>
      </c>
      <c r="O13" s="1">
        <f t="shared" ref="O13:O16" si="3">SUM(F13+G13+H13+I13+M13+N13+J13)</f>
        <v>160600</v>
      </c>
      <c r="P13" s="18" t="s">
        <v>32</v>
      </c>
      <c r="Q13" s="1">
        <f t="shared" ref="Q13:Q14" si="4">E13*2</f>
        <v>233600</v>
      </c>
      <c r="R13" s="1">
        <f>Q13*B13</f>
        <v>233600</v>
      </c>
      <c r="S13" s="1">
        <f>R13*0.25</f>
        <v>58400</v>
      </c>
      <c r="T13" s="1"/>
      <c r="U13" s="1"/>
      <c r="V13" s="1"/>
      <c r="W13" s="1"/>
      <c r="X13" s="1"/>
      <c r="Y13" s="1"/>
      <c r="Z13" s="1">
        <f>(R13+S13)*50%</f>
        <v>146000</v>
      </c>
      <c r="AA13" s="1"/>
      <c r="AB13" s="1"/>
      <c r="AC13" s="1"/>
      <c r="AD13" s="1"/>
      <c r="AE13" s="1"/>
      <c r="AF13" s="1"/>
      <c r="AG13" s="1">
        <f t="shared" ref="AG13:AG16" si="5">(R13+S13)*10%</f>
        <v>29200</v>
      </c>
      <c r="AH13" s="1">
        <f t="shared" ref="AH13:AH16" si="6">SUM(R13+S13+T13+U13+AB13+AC13+AD13+AE13+AF13+AG13+Y13+Z13+AA13+V13)</f>
        <v>467200</v>
      </c>
      <c r="AI13" s="5">
        <f t="shared" ref="AI13:AI16" si="7">O13</f>
        <v>160600</v>
      </c>
      <c r="AJ13" s="5">
        <f t="shared" ref="AJ13:AJ16" si="8">AH13-AI13</f>
        <v>306600</v>
      </c>
    </row>
    <row r="14" spans="1:36" s="31" customFormat="1" ht="33" customHeight="1" x14ac:dyDescent="0.2">
      <c r="A14" s="68" t="s">
        <v>88</v>
      </c>
      <c r="B14" s="73">
        <v>1</v>
      </c>
      <c r="C14" s="15" t="s">
        <v>74</v>
      </c>
      <c r="D14" s="18" t="s">
        <v>32</v>
      </c>
      <c r="E14" s="57">
        <v>101758</v>
      </c>
      <c r="F14" s="1">
        <f t="shared" si="0"/>
        <v>101758</v>
      </c>
      <c r="G14" s="1">
        <f t="shared" si="1"/>
        <v>25439.5</v>
      </c>
      <c r="H14" s="1"/>
      <c r="I14" s="1"/>
      <c r="J14" s="1"/>
      <c r="K14" s="1"/>
      <c r="L14" s="1"/>
      <c r="M14" s="1"/>
      <c r="N14" s="1">
        <f t="shared" si="2"/>
        <v>12719.75</v>
      </c>
      <c r="O14" s="1">
        <f t="shared" si="3"/>
        <v>139917.25</v>
      </c>
      <c r="P14" s="18" t="s">
        <v>32</v>
      </c>
      <c r="Q14" s="1">
        <f t="shared" si="4"/>
        <v>203516</v>
      </c>
      <c r="R14" s="1">
        <f>Q14*B14</f>
        <v>203516</v>
      </c>
      <c r="S14" s="1">
        <f>R14*0.25</f>
        <v>50879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f t="shared" si="5"/>
        <v>25439.5</v>
      </c>
      <c r="AH14" s="1">
        <f t="shared" si="6"/>
        <v>279834.5</v>
      </c>
      <c r="AI14" s="5">
        <f t="shared" si="7"/>
        <v>139917.25</v>
      </c>
      <c r="AJ14" s="5">
        <f t="shared" si="8"/>
        <v>139917.25</v>
      </c>
    </row>
    <row r="15" spans="1:36" s="31" customFormat="1" ht="33" customHeight="1" x14ac:dyDescent="0.2">
      <c r="A15" s="68" t="s">
        <v>59</v>
      </c>
      <c r="B15" s="73">
        <v>1</v>
      </c>
      <c r="C15" s="18" t="s">
        <v>56</v>
      </c>
      <c r="D15" s="18" t="s">
        <v>32</v>
      </c>
      <c r="E15" s="57">
        <v>116800</v>
      </c>
      <c r="F15" s="1">
        <f t="shared" si="0"/>
        <v>116800</v>
      </c>
      <c r="G15" s="1">
        <f t="shared" si="1"/>
        <v>29200</v>
      </c>
      <c r="H15" s="1"/>
      <c r="I15" s="1"/>
      <c r="J15" s="1"/>
      <c r="K15" s="1"/>
      <c r="L15" s="1"/>
      <c r="M15" s="1"/>
      <c r="N15" s="1">
        <f t="shared" si="2"/>
        <v>14600</v>
      </c>
      <c r="O15" s="1">
        <f t="shared" si="3"/>
        <v>160600</v>
      </c>
      <c r="P15" s="18" t="s">
        <v>32</v>
      </c>
      <c r="Q15" s="1">
        <f>E15*2</f>
        <v>233600</v>
      </c>
      <c r="R15" s="1">
        <f>Q15*B15</f>
        <v>233600</v>
      </c>
      <c r="S15" s="1">
        <f>R15*0.25</f>
        <v>58400</v>
      </c>
      <c r="T15" s="1"/>
      <c r="U15" s="1"/>
      <c r="V15" s="1"/>
      <c r="W15" s="1"/>
      <c r="X15" s="1"/>
      <c r="Y15" s="1"/>
      <c r="Z15" s="1">
        <f>(R15+S15)*50%</f>
        <v>146000</v>
      </c>
      <c r="AA15" s="1"/>
      <c r="AB15" s="1"/>
      <c r="AC15" s="1"/>
      <c r="AD15" s="1"/>
      <c r="AE15" s="1"/>
      <c r="AF15" s="1"/>
      <c r="AG15" s="1">
        <f t="shared" si="5"/>
        <v>29200</v>
      </c>
      <c r="AH15" s="1">
        <f t="shared" si="6"/>
        <v>467200</v>
      </c>
      <c r="AI15" s="5">
        <f t="shared" si="7"/>
        <v>160600</v>
      </c>
      <c r="AJ15" s="5">
        <f t="shared" si="8"/>
        <v>306600</v>
      </c>
    </row>
    <row r="16" spans="1:36" s="31" customFormat="1" ht="19.5" customHeight="1" x14ac:dyDescent="0.2">
      <c r="A16" s="68" t="s">
        <v>31</v>
      </c>
      <c r="B16" s="73">
        <v>1</v>
      </c>
      <c r="C16" s="18" t="s">
        <v>56</v>
      </c>
      <c r="D16" s="56" t="s">
        <v>33</v>
      </c>
      <c r="E16" s="1">
        <v>112022</v>
      </c>
      <c r="F16" s="1">
        <f t="shared" si="0"/>
        <v>112022</v>
      </c>
      <c r="G16" s="1"/>
      <c r="H16" s="1"/>
      <c r="I16" s="1"/>
      <c r="J16" s="1"/>
      <c r="K16" s="1"/>
      <c r="L16" s="1"/>
      <c r="M16" s="1"/>
      <c r="N16" s="1">
        <f>(F16+G16)*10%</f>
        <v>11202.2</v>
      </c>
      <c r="O16" s="1">
        <f t="shared" si="3"/>
        <v>123224.2</v>
      </c>
      <c r="P16" s="56" t="s">
        <v>33</v>
      </c>
      <c r="Q16" s="1">
        <f>E16*1.45</f>
        <v>162431.9</v>
      </c>
      <c r="R16" s="1">
        <f>Q16*B16</f>
        <v>162431.9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f t="shared" si="5"/>
        <v>16243.19</v>
      </c>
      <c r="AH16" s="1">
        <f t="shared" si="6"/>
        <v>178675.09</v>
      </c>
      <c r="AI16" s="5">
        <f t="shared" si="7"/>
        <v>123224.2</v>
      </c>
      <c r="AJ16" s="5">
        <f t="shared" si="8"/>
        <v>55450.89</v>
      </c>
    </row>
    <row r="17" spans="1:37" s="31" customFormat="1" ht="26.25" customHeight="1" x14ac:dyDescent="0.3">
      <c r="A17" s="74" t="s">
        <v>19</v>
      </c>
      <c r="B17" s="74">
        <f>SUM(B12:B16)</f>
        <v>5</v>
      </c>
      <c r="C17" s="6"/>
      <c r="D17" s="6"/>
      <c r="E17" s="4"/>
      <c r="F17" s="4">
        <f>SUM(F12:F16)</f>
        <v>560641</v>
      </c>
      <c r="G17" s="4">
        <f>SUM(G12:G16)</f>
        <v>112154.75</v>
      </c>
      <c r="H17" s="4">
        <f t="shared" ref="H17:L17" si="9">SUM(H12:H16)</f>
        <v>0</v>
      </c>
      <c r="I17" s="4">
        <f t="shared" si="9"/>
        <v>0</v>
      </c>
      <c r="J17" s="4">
        <f t="shared" si="9"/>
        <v>0</v>
      </c>
      <c r="K17" s="4">
        <f t="shared" si="9"/>
        <v>0</v>
      </c>
      <c r="L17" s="4">
        <f t="shared" si="9"/>
        <v>0</v>
      </c>
      <c r="M17" s="4">
        <f>SUM(M12:M16)</f>
        <v>0</v>
      </c>
      <c r="N17" s="4">
        <f>SUM(N12:N16)</f>
        <v>67279.574999999997</v>
      </c>
      <c r="O17" s="4">
        <f>SUM(O12:O16)</f>
        <v>740075.32499999995</v>
      </c>
      <c r="P17" s="6"/>
      <c r="Q17" s="4"/>
      <c r="R17" s="4">
        <f>SUM(R12:R16)</f>
        <v>1059669.8999999999</v>
      </c>
      <c r="S17" s="4">
        <f>SUM(S12:S16)</f>
        <v>224309.5</v>
      </c>
      <c r="T17" s="4">
        <f>T12</f>
        <v>0</v>
      </c>
      <c r="U17" s="4">
        <f>SUM(U12:U16)</f>
        <v>0</v>
      </c>
      <c r="V17" s="4">
        <f t="shared" ref="V17:AE17" si="10">SUM(V12:V16)</f>
        <v>0</v>
      </c>
      <c r="W17" s="4">
        <f t="shared" si="10"/>
        <v>0</v>
      </c>
      <c r="X17" s="4">
        <f t="shared" si="10"/>
        <v>0</v>
      </c>
      <c r="Y17" s="4">
        <f t="shared" si="10"/>
        <v>0</v>
      </c>
      <c r="Z17" s="4">
        <f t="shared" si="10"/>
        <v>292000</v>
      </c>
      <c r="AA17" s="4">
        <f t="shared" si="10"/>
        <v>84945.75</v>
      </c>
      <c r="AB17" s="4">
        <f t="shared" si="10"/>
        <v>0</v>
      </c>
      <c r="AC17" s="4">
        <f t="shared" si="10"/>
        <v>0</v>
      </c>
      <c r="AD17" s="4">
        <f t="shared" si="10"/>
        <v>0</v>
      </c>
      <c r="AE17" s="4">
        <f t="shared" si="10"/>
        <v>0</v>
      </c>
      <c r="AF17" s="4">
        <f t="shared" ref="AF17" si="11">AF12</f>
        <v>0</v>
      </c>
      <c r="AG17" s="4">
        <f>SUM(AG12:AG16)</f>
        <v>128397.94</v>
      </c>
      <c r="AH17" s="4">
        <f>SUM(AH12:AH16)</f>
        <v>1789323.09</v>
      </c>
      <c r="AI17" s="4">
        <f>SUM(AI12:AI16)</f>
        <v>740075.32499999995</v>
      </c>
      <c r="AJ17" s="4">
        <f>SUM(AJ12:AJ16)</f>
        <v>1049247.7649999999</v>
      </c>
      <c r="AK17" s="81">
        <f>AJ17+AJ29-AJ28-AJ27-AJ24-Z55-AA55-AD55</f>
        <v>1481193.7524999999</v>
      </c>
    </row>
    <row r="18" spans="1:37" s="31" customFormat="1" ht="21.75" customHeight="1" x14ac:dyDescent="0.2">
      <c r="A18" s="68" t="s">
        <v>89</v>
      </c>
      <c r="B18" s="73">
        <v>1</v>
      </c>
      <c r="C18" s="15" t="s">
        <v>61</v>
      </c>
      <c r="D18" s="18" t="s">
        <v>34</v>
      </c>
      <c r="E18" s="35">
        <v>61055</v>
      </c>
      <c r="F18" s="5">
        <f>E18*B18</f>
        <v>61055</v>
      </c>
      <c r="G18" s="1">
        <f>F18*0.25</f>
        <v>15263.75</v>
      </c>
      <c r="H18" s="1"/>
      <c r="I18" s="1"/>
      <c r="J18" s="1"/>
      <c r="K18" s="1"/>
      <c r="L18" s="1">
        <f>(17697*B18)</f>
        <v>17697</v>
      </c>
      <c r="M18" s="1"/>
      <c r="N18" s="1">
        <f>(F18+G18)*10%</f>
        <v>7631.875</v>
      </c>
      <c r="O18" s="1">
        <f>SUM(F18+G18+H18+L18+I18+J18+M18+N18)</f>
        <v>101647.625</v>
      </c>
      <c r="P18" s="18" t="s">
        <v>34</v>
      </c>
      <c r="Q18" s="1">
        <f>E18*2</f>
        <v>122110</v>
      </c>
      <c r="R18" s="1">
        <f>Q18*B18</f>
        <v>122110</v>
      </c>
      <c r="S18" s="1">
        <f>R18*0.25</f>
        <v>30527.5</v>
      </c>
      <c r="T18" s="1"/>
      <c r="U18" s="1"/>
      <c r="V18" s="1"/>
      <c r="W18" s="1"/>
      <c r="X18" s="1">
        <v>17697</v>
      </c>
      <c r="Y18" s="1"/>
      <c r="Z18" s="1"/>
      <c r="AA18" s="58"/>
      <c r="AB18" s="1"/>
      <c r="AC18" s="1"/>
      <c r="AD18" s="1"/>
      <c r="AE18" s="1"/>
      <c r="AF18" s="1"/>
      <c r="AG18" s="1">
        <f>(R18+S18)*10%</f>
        <v>15263.75</v>
      </c>
      <c r="AH18" s="1">
        <f>SUM(R18+S18+T18+U18+AB18+AC18+AD18+AE18+AF18+AG18+Y18+Z18+AA18+V18+X18)</f>
        <v>185598.25</v>
      </c>
      <c r="AI18" s="5">
        <f>O18</f>
        <v>101647.625</v>
      </c>
      <c r="AJ18" s="1">
        <f>AH18-AI18</f>
        <v>83950.625</v>
      </c>
    </row>
    <row r="19" spans="1:37" s="31" customFormat="1" ht="24" customHeight="1" x14ac:dyDescent="0.2">
      <c r="A19" s="68" t="s">
        <v>86</v>
      </c>
      <c r="B19" s="73">
        <v>1</v>
      </c>
      <c r="C19" s="15" t="s">
        <v>50</v>
      </c>
      <c r="D19" s="18" t="s">
        <v>35</v>
      </c>
      <c r="E19" s="35">
        <v>83884</v>
      </c>
      <c r="F19" s="5">
        <f t="shared" ref="F19:F28" si="12">E19*B19</f>
        <v>83884</v>
      </c>
      <c r="G19" s="1">
        <f t="shared" ref="G19:G28" si="13">F19*0.25</f>
        <v>20971</v>
      </c>
      <c r="H19" s="1"/>
      <c r="I19" s="1"/>
      <c r="J19" s="1"/>
      <c r="K19" s="1"/>
      <c r="L19" s="1">
        <f>(17697*B19)</f>
        <v>17697</v>
      </c>
      <c r="M19" s="1"/>
      <c r="N19" s="1">
        <f t="shared" ref="N19:N28" si="14">(F19+G19)*10%</f>
        <v>10485.5</v>
      </c>
      <c r="O19" s="1">
        <f t="shared" ref="O19:O28" si="15">SUM(F19+G19+H19+L19+I19+J19+M19+N19)</f>
        <v>133037.5</v>
      </c>
      <c r="P19" s="18" t="s">
        <v>35</v>
      </c>
      <c r="Q19" s="1">
        <f>E19*2</f>
        <v>167768</v>
      </c>
      <c r="R19" s="1">
        <f t="shared" ref="R19:R28" si="16">Q19*B19</f>
        <v>167768</v>
      </c>
      <c r="S19" s="1">
        <f t="shared" ref="S19:S28" si="17">R19*0.25</f>
        <v>41942</v>
      </c>
      <c r="T19" s="1"/>
      <c r="U19" s="1"/>
      <c r="V19" s="1"/>
      <c r="W19" s="1"/>
      <c r="X19" s="1">
        <v>17697</v>
      </c>
      <c r="Y19" s="1"/>
      <c r="Z19" s="1"/>
      <c r="AA19" s="1"/>
      <c r="AB19" s="1"/>
      <c r="AC19" s="1"/>
      <c r="AD19" s="1"/>
      <c r="AE19" s="1"/>
      <c r="AF19" s="1"/>
      <c r="AG19" s="1">
        <f t="shared" ref="AG19:AG28" si="18">(R19+S19)*10%</f>
        <v>20971</v>
      </c>
      <c r="AH19" s="1">
        <f t="shared" ref="AH19:AH28" si="19">SUM(R19+S19+T19+U19+AB19+AC19+AD19+AE19+AF19+AG19+Y19+Z19+AA19+V19+X19)</f>
        <v>248378</v>
      </c>
      <c r="AI19" s="5">
        <f t="shared" ref="AI19:AI28" si="20">O19</f>
        <v>133037.5</v>
      </c>
      <c r="AJ19" s="1">
        <f t="shared" ref="AJ19:AJ28" si="21">AH19-AI19</f>
        <v>115340.5</v>
      </c>
    </row>
    <row r="20" spans="1:37" s="31" customFormat="1" ht="15" customHeight="1" x14ac:dyDescent="0.2">
      <c r="A20" s="64" t="s">
        <v>86</v>
      </c>
      <c r="B20" s="73">
        <v>1</v>
      </c>
      <c r="C20" s="49" t="s">
        <v>51</v>
      </c>
      <c r="D20" s="18" t="s">
        <v>84</v>
      </c>
      <c r="E20" s="35">
        <v>83707</v>
      </c>
      <c r="F20" s="5">
        <f t="shared" si="12"/>
        <v>83707</v>
      </c>
      <c r="G20" s="1">
        <f t="shared" si="13"/>
        <v>20926.75</v>
      </c>
      <c r="H20" s="1"/>
      <c r="I20" s="1"/>
      <c r="J20" s="1"/>
      <c r="K20" s="1"/>
      <c r="L20" s="1">
        <f>(17697*B20)</f>
        <v>17697</v>
      </c>
      <c r="M20" s="1"/>
      <c r="N20" s="1">
        <f t="shared" si="14"/>
        <v>10463.375</v>
      </c>
      <c r="O20" s="1">
        <f t="shared" si="15"/>
        <v>132794.125</v>
      </c>
      <c r="P20" s="18" t="s">
        <v>84</v>
      </c>
      <c r="Q20" s="1">
        <f t="shared" ref="Q20:Q26" si="22">E20*2</f>
        <v>167414</v>
      </c>
      <c r="R20" s="1">
        <f t="shared" si="16"/>
        <v>167414</v>
      </c>
      <c r="S20" s="1">
        <f t="shared" si="17"/>
        <v>41853.5</v>
      </c>
      <c r="T20" s="1"/>
      <c r="U20" s="1"/>
      <c r="V20" s="1"/>
      <c r="W20" s="1"/>
      <c r="X20" s="1">
        <v>17697</v>
      </c>
      <c r="Y20" s="1"/>
      <c r="Z20" s="1"/>
      <c r="AA20" s="1"/>
      <c r="AB20" s="1"/>
      <c r="AC20" s="1"/>
      <c r="AD20" s="1">
        <f>(R20+S20)*35%</f>
        <v>73243.625</v>
      </c>
      <c r="AE20" s="1"/>
      <c r="AF20" s="1"/>
      <c r="AG20" s="1">
        <f t="shared" si="18"/>
        <v>20926.75</v>
      </c>
      <c r="AH20" s="1">
        <f t="shared" si="19"/>
        <v>321134.875</v>
      </c>
      <c r="AI20" s="5">
        <f t="shared" si="20"/>
        <v>132794.125</v>
      </c>
      <c r="AJ20" s="1">
        <f t="shared" si="21"/>
        <v>188340.75</v>
      </c>
    </row>
    <row r="21" spans="1:37" s="31" customFormat="1" ht="18.75" customHeight="1" x14ac:dyDescent="0.2">
      <c r="A21" s="68" t="s">
        <v>86</v>
      </c>
      <c r="B21" s="70">
        <v>1</v>
      </c>
      <c r="C21" s="15" t="s">
        <v>52</v>
      </c>
      <c r="D21" s="80" t="s">
        <v>35</v>
      </c>
      <c r="E21" s="48">
        <v>86715</v>
      </c>
      <c r="F21" s="5">
        <f t="shared" si="12"/>
        <v>86715</v>
      </c>
      <c r="G21" s="1">
        <f t="shared" si="13"/>
        <v>21678.75</v>
      </c>
      <c r="H21" s="1"/>
      <c r="I21" s="1"/>
      <c r="J21" s="1"/>
      <c r="K21" s="1"/>
      <c r="L21" s="1">
        <f>(17697*B21)</f>
        <v>17697</v>
      </c>
      <c r="M21" s="1"/>
      <c r="N21" s="1">
        <f t="shared" si="14"/>
        <v>10839.375</v>
      </c>
      <c r="O21" s="1">
        <f t="shared" si="15"/>
        <v>136930.125</v>
      </c>
      <c r="P21" s="80" t="s">
        <v>35</v>
      </c>
      <c r="Q21" s="1">
        <f t="shared" si="22"/>
        <v>173430</v>
      </c>
      <c r="R21" s="1">
        <f t="shared" si="16"/>
        <v>173430</v>
      </c>
      <c r="S21" s="1">
        <f t="shared" si="17"/>
        <v>43357.5</v>
      </c>
      <c r="T21" s="1"/>
      <c r="U21" s="1"/>
      <c r="V21" s="1"/>
      <c r="W21" s="1"/>
      <c r="X21" s="1">
        <v>17697</v>
      </c>
      <c r="Y21" s="1"/>
      <c r="Z21" s="1"/>
      <c r="AA21" s="1"/>
      <c r="AB21" s="1"/>
      <c r="AC21" s="1"/>
      <c r="AD21" s="1"/>
      <c r="AE21" s="1"/>
      <c r="AF21" s="1"/>
      <c r="AG21" s="1">
        <f t="shared" si="18"/>
        <v>21678.75</v>
      </c>
      <c r="AH21" s="1">
        <f t="shared" si="19"/>
        <v>256163.25</v>
      </c>
      <c r="AI21" s="5">
        <f>O21</f>
        <v>136930.125</v>
      </c>
      <c r="AJ21" s="1">
        <f t="shared" si="21"/>
        <v>119233.125</v>
      </c>
    </row>
    <row r="22" spans="1:37" s="31" customFormat="1" ht="39.75" customHeight="1" x14ac:dyDescent="0.2">
      <c r="A22" s="68" t="s">
        <v>86</v>
      </c>
      <c r="B22" s="36">
        <v>1</v>
      </c>
      <c r="C22" s="15" t="s">
        <v>75</v>
      </c>
      <c r="D22" s="18" t="s">
        <v>34</v>
      </c>
      <c r="E22" s="35">
        <v>58754</v>
      </c>
      <c r="F22" s="5">
        <f t="shared" si="12"/>
        <v>58754</v>
      </c>
      <c r="G22" s="1">
        <f t="shared" si="13"/>
        <v>14688.5</v>
      </c>
      <c r="H22" s="1"/>
      <c r="I22" s="1"/>
      <c r="J22" s="1"/>
      <c r="K22" s="1"/>
      <c r="L22" s="1">
        <f>(17697*B22)</f>
        <v>17697</v>
      </c>
      <c r="M22" s="1"/>
      <c r="N22" s="1">
        <f t="shared" si="14"/>
        <v>7344.25</v>
      </c>
      <c r="O22" s="1">
        <f t="shared" si="15"/>
        <v>98483.75</v>
      </c>
      <c r="P22" s="18" t="s">
        <v>34</v>
      </c>
      <c r="Q22" s="1">
        <f t="shared" si="22"/>
        <v>117508</v>
      </c>
      <c r="R22" s="1">
        <f t="shared" si="16"/>
        <v>117508</v>
      </c>
      <c r="S22" s="1">
        <f t="shared" si="17"/>
        <v>29377</v>
      </c>
      <c r="T22" s="1"/>
      <c r="U22" s="1"/>
      <c r="V22" s="1"/>
      <c r="W22" s="1"/>
      <c r="X22" s="1">
        <v>17697</v>
      </c>
      <c r="Y22" s="1"/>
      <c r="Z22" s="1"/>
      <c r="AA22" s="1"/>
      <c r="AB22" s="1"/>
      <c r="AC22" s="1"/>
      <c r="AD22" s="1"/>
      <c r="AE22" s="1"/>
      <c r="AF22" s="1"/>
      <c r="AG22" s="1">
        <f t="shared" si="18"/>
        <v>14688.5</v>
      </c>
      <c r="AH22" s="1">
        <f t="shared" si="19"/>
        <v>179270.5</v>
      </c>
      <c r="AI22" s="5">
        <f t="shared" ref="AI22" si="23">O22</f>
        <v>98483.75</v>
      </c>
      <c r="AJ22" s="1">
        <f t="shared" si="21"/>
        <v>80786.75</v>
      </c>
      <c r="AK22" s="67"/>
    </row>
    <row r="23" spans="1:37" s="31" customFormat="1" ht="31.5" customHeight="1" x14ac:dyDescent="0.25">
      <c r="A23" s="68" t="s">
        <v>85</v>
      </c>
      <c r="B23" s="73">
        <v>0.7</v>
      </c>
      <c r="C23" s="55" t="s">
        <v>83</v>
      </c>
      <c r="D23" s="18" t="s">
        <v>36</v>
      </c>
      <c r="E23" s="35">
        <v>89547</v>
      </c>
      <c r="F23" s="5">
        <f t="shared" si="12"/>
        <v>62682.899999999994</v>
      </c>
      <c r="G23" s="1">
        <f t="shared" si="13"/>
        <v>15670.724999999999</v>
      </c>
      <c r="H23" s="1"/>
      <c r="I23" s="1"/>
      <c r="J23" s="1"/>
      <c r="K23" s="1"/>
      <c r="L23" s="1"/>
      <c r="M23" s="1"/>
      <c r="N23" s="1">
        <f t="shared" si="14"/>
        <v>7835.3625000000002</v>
      </c>
      <c r="O23" s="1">
        <f t="shared" si="15"/>
        <v>86188.987500000003</v>
      </c>
      <c r="P23" s="18" t="s">
        <v>36</v>
      </c>
      <c r="Q23" s="1">
        <f t="shared" si="22"/>
        <v>179094</v>
      </c>
      <c r="R23" s="1">
        <f t="shared" si="16"/>
        <v>125365.79999999999</v>
      </c>
      <c r="S23" s="1">
        <f t="shared" si="17"/>
        <v>31341.449999999997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f t="shared" si="18"/>
        <v>15670.725</v>
      </c>
      <c r="AH23" s="1">
        <f t="shared" si="19"/>
        <v>172377.97500000001</v>
      </c>
      <c r="AI23" s="5">
        <f t="shared" si="20"/>
        <v>86188.987500000003</v>
      </c>
      <c r="AJ23" s="1">
        <f t="shared" si="21"/>
        <v>86188.987500000003</v>
      </c>
    </row>
    <row r="24" spans="1:37" s="31" customFormat="1" ht="15.75" customHeight="1" x14ac:dyDescent="0.2">
      <c r="A24" s="68" t="s">
        <v>90</v>
      </c>
      <c r="B24" s="73">
        <v>0.3</v>
      </c>
      <c r="C24" s="15" t="s">
        <v>50</v>
      </c>
      <c r="D24" s="18" t="s">
        <v>36</v>
      </c>
      <c r="E24" s="35">
        <v>83176</v>
      </c>
      <c r="F24" s="5">
        <f t="shared" si="12"/>
        <v>24952.799999999999</v>
      </c>
      <c r="G24" s="1">
        <f t="shared" si="13"/>
        <v>6238.2</v>
      </c>
      <c r="H24" s="1"/>
      <c r="I24" s="1"/>
      <c r="J24" s="1"/>
      <c r="K24" s="1"/>
      <c r="L24" s="1"/>
      <c r="M24" s="1"/>
      <c r="N24" s="1">
        <f t="shared" si="14"/>
        <v>3119.1000000000004</v>
      </c>
      <c r="O24" s="1">
        <f t="shared" si="15"/>
        <v>34310.1</v>
      </c>
      <c r="P24" s="18" t="s">
        <v>36</v>
      </c>
      <c r="Q24" s="1">
        <f t="shared" si="22"/>
        <v>166352</v>
      </c>
      <c r="R24" s="1">
        <f t="shared" si="16"/>
        <v>49905.599999999999</v>
      </c>
      <c r="S24" s="1">
        <f t="shared" si="17"/>
        <v>12476.4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f t="shared" si="18"/>
        <v>6238.2000000000007</v>
      </c>
      <c r="AH24" s="1">
        <f t="shared" si="19"/>
        <v>68620.2</v>
      </c>
      <c r="AI24" s="5">
        <f t="shared" si="20"/>
        <v>34310.1</v>
      </c>
      <c r="AJ24" s="1">
        <f t="shared" si="21"/>
        <v>34310.1</v>
      </c>
    </row>
    <row r="25" spans="1:37" s="31" customFormat="1" ht="21" customHeight="1" x14ac:dyDescent="0.2">
      <c r="A25" s="68" t="s">
        <v>91</v>
      </c>
      <c r="B25" s="36">
        <v>1</v>
      </c>
      <c r="C25" s="15" t="s">
        <v>62</v>
      </c>
      <c r="D25" s="18" t="s">
        <v>38</v>
      </c>
      <c r="E25" s="35">
        <v>71850</v>
      </c>
      <c r="F25" s="5">
        <f t="shared" si="12"/>
        <v>71850</v>
      </c>
      <c r="G25" s="1">
        <f t="shared" si="13"/>
        <v>17962.5</v>
      </c>
      <c r="H25" s="1"/>
      <c r="I25" s="1"/>
      <c r="J25" s="1"/>
      <c r="K25" s="1"/>
      <c r="L25" s="1"/>
      <c r="M25" s="1"/>
      <c r="N25" s="1">
        <f t="shared" si="14"/>
        <v>8981.25</v>
      </c>
      <c r="O25" s="1">
        <f t="shared" si="15"/>
        <v>98793.75</v>
      </c>
      <c r="P25" s="18" t="s">
        <v>38</v>
      </c>
      <c r="Q25" s="1">
        <f t="shared" si="22"/>
        <v>143700</v>
      </c>
      <c r="R25" s="1">
        <f t="shared" si="16"/>
        <v>143700</v>
      </c>
      <c r="S25" s="1">
        <f t="shared" si="17"/>
        <v>35925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f t="shared" si="18"/>
        <v>17962.5</v>
      </c>
      <c r="AH25" s="1">
        <f t="shared" si="19"/>
        <v>197587.5</v>
      </c>
      <c r="AI25" s="5">
        <f t="shared" si="20"/>
        <v>98793.75</v>
      </c>
      <c r="AJ25" s="1">
        <f t="shared" si="21"/>
        <v>98793.75</v>
      </c>
    </row>
    <row r="26" spans="1:37" s="31" customFormat="1" ht="17.25" customHeight="1" x14ac:dyDescent="0.2">
      <c r="A26" s="64" t="s">
        <v>92</v>
      </c>
      <c r="B26" s="36">
        <v>1</v>
      </c>
      <c r="C26" s="16" t="s">
        <v>51</v>
      </c>
      <c r="D26" s="18" t="s">
        <v>37</v>
      </c>
      <c r="E26" s="35">
        <v>79637</v>
      </c>
      <c r="F26" s="5">
        <f t="shared" si="12"/>
        <v>79637</v>
      </c>
      <c r="G26" s="1">
        <f t="shared" si="13"/>
        <v>19909.25</v>
      </c>
      <c r="H26" s="1"/>
      <c r="I26" s="1"/>
      <c r="J26" s="1"/>
      <c r="K26" s="1"/>
      <c r="L26" s="1"/>
      <c r="M26" s="1"/>
      <c r="N26" s="1">
        <f t="shared" si="14"/>
        <v>9954.625</v>
      </c>
      <c r="O26" s="1">
        <f t="shared" si="15"/>
        <v>109500.875</v>
      </c>
      <c r="P26" s="18" t="s">
        <v>37</v>
      </c>
      <c r="Q26" s="1">
        <f t="shared" si="22"/>
        <v>159274</v>
      </c>
      <c r="R26" s="1">
        <f t="shared" si="16"/>
        <v>159274</v>
      </c>
      <c r="S26" s="1">
        <f t="shared" si="17"/>
        <v>39818.5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f t="shared" si="18"/>
        <v>19909.25</v>
      </c>
      <c r="AH26" s="1">
        <f t="shared" si="19"/>
        <v>219001.75</v>
      </c>
      <c r="AI26" s="5">
        <f t="shared" si="20"/>
        <v>109500.875</v>
      </c>
      <c r="AJ26" s="1">
        <f t="shared" si="21"/>
        <v>109500.875</v>
      </c>
    </row>
    <row r="27" spans="1:37" s="31" customFormat="1" ht="26.25" customHeight="1" x14ac:dyDescent="0.2">
      <c r="A27" s="69" t="s">
        <v>30</v>
      </c>
      <c r="B27" s="37">
        <v>1</v>
      </c>
      <c r="C27" s="16" t="s">
        <v>51</v>
      </c>
      <c r="D27" s="38" t="s">
        <v>34</v>
      </c>
      <c r="E27" s="35">
        <v>66010</v>
      </c>
      <c r="F27" s="5">
        <f t="shared" si="12"/>
        <v>66010</v>
      </c>
      <c r="G27" s="1">
        <f t="shared" si="13"/>
        <v>16502.5</v>
      </c>
      <c r="H27" s="1"/>
      <c r="I27" s="1"/>
      <c r="J27" s="1"/>
      <c r="K27" s="1"/>
      <c r="L27" s="1"/>
      <c r="M27" s="1"/>
      <c r="N27" s="1">
        <f t="shared" si="14"/>
        <v>8251.25</v>
      </c>
      <c r="O27" s="1">
        <f t="shared" si="15"/>
        <v>90763.75</v>
      </c>
      <c r="P27" s="38" t="s">
        <v>34</v>
      </c>
      <c r="Q27" s="1">
        <f>E27*2.05</f>
        <v>135320.5</v>
      </c>
      <c r="R27" s="1">
        <f t="shared" si="16"/>
        <v>135320.5</v>
      </c>
      <c r="S27" s="1">
        <f t="shared" si="17"/>
        <v>33830.125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f t="shared" si="18"/>
        <v>16915.0625</v>
      </c>
      <c r="AH27" s="1">
        <f t="shared" si="19"/>
        <v>186065.6875</v>
      </c>
      <c r="AI27" s="5">
        <f t="shared" si="20"/>
        <v>90763.75</v>
      </c>
      <c r="AJ27" s="1">
        <f t="shared" si="21"/>
        <v>95301.9375</v>
      </c>
    </row>
    <row r="28" spans="1:37" s="31" customFormat="1" ht="21.75" customHeight="1" x14ac:dyDescent="0.2">
      <c r="A28" s="68" t="s">
        <v>63</v>
      </c>
      <c r="B28" s="36">
        <v>1</v>
      </c>
      <c r="C28" s="15" t="s">
        <v>50</v>
      </c>
      <c r="D28" s="18" t="s">
        <v>38</v>
      </c>
      <c r="E28" s="35">
        <v>68133</v>
      </c>
      <c r="F28" s="5">
        <f t="shared" si="12"/>
        <v>68133</v>
      </c>
      <c r="G28" s="1">
        <f t="shared" si="13"/>
        <v>17033.25</v>
      </c>
      <c r="H28" s="1"/>
      <c r="I28" s="1"/>
      <c r="J28" s="1"/>
      <c r="K28" s="1"/>
      <c r="L28" s="1"/>
      <c r="M28" s="1"/>
      <c r="N28" s="1">
        <f t="shared" si="14"/>
        <v>8516.625</v>
      </c>
      <c r="O28" s="1">
        <f t="shared" si="15"/>
        <v>93682.875</v>
      </c>
      <c r="P28" s="18" t="s">
        <v>38</v>
      </c>
      <c r="Q28" s="1">
        <f>E28*2</f>
        <v>136266</v>
      </c>
      <c r="R28" s="1">
        <f t="shared" si="16"/>
        <v>136266</v>
      </c>
      <c r="S28" s="1">
        <f t="shared" si="17"/>
        <v>34066.5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f t="shared" si="18"/>
        <v>17033.25</v>
      </c>
      <c r="AH28" s="1">
        <f t="shared" si="19"/>
        <v>187365.75</v>
      </c>
      <c r="AI28" s="5">
        <f t="shared" si="20"/>
        <v>93682.875</v>
      </c>
      <c r="AJ28" s="1">
        <f t="shared" si="21"/>
        <v>93682.875</v>
      </c>
    </row>
    <row r="29" spans="1:37" s="31" customFormat="1" ht="20.25" customHeight="1" x14ac:dyDescent="0.2">
      <c r="A29" s="74" t="s">
        <v>20</v>
      </c>
      <c r="B29" s="6">
        <f>SUM(B18:B28)</f>
        <v>10</v>
      </c>
      <c r="C29" s="6"/>
      <c r="D29" s="6"/>
      <c r="E29" s="3"/>
      <c r="F29" s="4">
        <f>SUM(F18:F28)</f>
        <v>747380.7</v>
      </c>
      <c r="G29" s="4">
        <f>SUM(G18:G28)</f>
        <v>186845.17499999999</v>
      </c>
      <c r="H29" s="4">
        <f t="shared" ref="H29:M29" si="24">SUM(H18:H28)</f>
        <v>0</v>
      </c>
      <c r="I29" s="4">
        <f t="shared" si="24"/>
        <v>0</v>
      </c>
      <c r="J29" s="4">
        <f t="shared" si="24"/>
        <v>0</v>
      </c>
      <c r="K29" s="4">
        <f t="shared" si="24"/>
        <v>0</v>
      </c>
      <c r="L29" s="4">
        <f t="shared" si="24"/>
        <v>88485</v>
      </c>
      <c r="M29" s="4">
        <f t="shared" si="24"/>
        <v>0</v>
      </c>
      <c r="N29" s="4">
        <f>SUM(N18:N28)</f>
        <v>93422.587499999994</v>
      </c>
      <c r="O29" s="4">
        <f>SUM(O18:O28)</f>
        <v>1116133.4624999999</v>
      </c>
      <c r="P29" s="4"/>
      <c r="Q29" s="1"/>
      <c r="R29" s="4">
        <f>SUM(R18:R28)</f>
        <v>1498061.9</v>
      </c>
      <c r="S29" s="4">
        <f>SUM(S18:S28)</f>
        <v>374515.47499999998</v>
      </c>
      <c r="T29" s="4">
        <f t="shared" ref="T29" si="25">SUM(T18:T28)</f>
        <v>0</v>
      </c>
      <c r="U29" s="4">
        <f>SUM(U18:U28)</f>
        <v>0</v>
      </c>
      <c r="V29" s="4">
        <f t="shared" ref="V29:AF29" si="26">SUM(V18:V28)</f>
        <v>0</v>
      </c>
      <c r="W29" s="4">
        <f t="shared" si="26"/>
        <v>0</v>
      </c>
      <c r="X29" s="4">
        <f t="shared" si="26"/>
        <v>88485</v>
      </c>
      <c r="Y29" s="4">
        <f t="shared" si="26"/>
        <v>0</v>
      </c>
      <c r="Z29" s="4">
        <f t="shared" si="26"/>
        <v>0</v>
      </c>
      <c r="AA29" s="4">
        <f t="shared" si="26"/>
        <v>0</v>
      </c>
      <c r="AB29" s="4">
        <f t="shared" si="26"/>
        <v>0</v>
      </c>
      <c r="AC29" s="4">
        <f t="shared" si="26"/>
        <v>0</v>
      </c>
      <c r="AD29" s="4">
        <f>SUM(AD18:AD28)</f>
        <v>73243.625</v>
      </c>
      <c r="AE29" s="4">
        <f t="shared" si="26"/>
        <v>0</v>
      </c>
      <c r="AF29" s="4">
        <f t="shared" si="26"/>
        <v>0</v>
      </c>
      <c r="AG29" s="4">
        <f>SUM(AG18:AG28)</f>
        <v>187257.73749999999</v>
      </c>
      <c r="AH29" s="4">
        <f>SUM(AH18:AH28)</f>
        <v>2221563.7374999998</v>
      </c>
      <c r="AI29" s="4">
        <f>SUM(AI18:AI28)</f>
        <v>1116133.4624999999</v>
      </c>
      <c r="AJ29" s="4">
        <f>SUM(AJ18:AJ28)</f>
        <v>1105430.2749999999</v>
      </c>
    </row>
    <row r="30" spans="1:37" s="31" customFormat="1" ht="18.75" customHeight="1" x14ac:dyDescent="0.2">
      <c r="A30" s="68" t="s">
        <v>64</v>
      </c>
      <c r="B30" s="36">
        <v>1</v>
      </c>
      <c r="C30" s="15" t="s">
        <v>50</v>
      </c>
      <c r="D30" s="18" t="s">
        <v>40</v>
      </c>
      <c r="E30" s="35">
        <v>78398</v>
      </c>
      <c r="F30" s="35">
        <f t="shared" ref="F30:F36" si="27">E30*B30</f>
        <v>78398</v>
      </c>
      <c r="G30" s="1"/>
      <c r="H30" s="4"/>
      <c r="I30" s="4"/>
      <c r="J30" s="4"/>
      <c r="K30" s="4"/>
      <c r="L30" s="4"/>
      <c r="M30" s="4"/>
      <c r="N30" s="1">
        <f>(F30+G30)*10%</f>
        <v>7839.8</v>
      </c>
      <c r="O30" s="1">
        <f>SUM(F30+G30+H30+I30+M30+N30+J30+K30+L30)</f>
        <v>86237.8</v>
      </c>
      <c r="P30" s="18" t="s">
        <v>40</v>
      </c>
      <c r="Q30" s="1">
        <f>E30*1.45</f>
        <v>113677.09999999999</v>
      </c>
      <c r="R30" s="35">
        <f>Q30*B30</f>
        <v>113677.09999999999</v>
      </c>
      <c r="S30" s="18"/>
      <c r="T30" s="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">
        <f>(R30+S30)*10%</f>
        <v>11367.71</v>
      </c>
      <c r="AH30" s="1">
        <f>SUM(R30:AG30)</f>
        <v>125044.81</v>
      </c>
      <c r="AI30" s="5">
        <f>O30</f>
        <v>86237.8</v>
      </c>
      <c r="AJ30" s="1">
        <f>AH30-AI30</f>
        <v>38807.009999999995</v>
      </c>
    </row>
    <row r="31" spans="1:37" s="31" customFormat="1" ht="15" x14ac:dyDescent="0.2">
      <c r="A31" s="68" t="s">
        <v>49</v>
      </c>
      <c r="B31" s="36">
        <v>1</v>
      </c>
      <c r="C31" s="15" t="s">
        <v>50</v>
      </c>
      <c r="D31" s="18" t="s">
        <v>40</v>
      </c>
      <c r="E31" s="35">
        <v>78398</v>
      </c>
      <c r="F31" s="35">
        <f t="shared" si="27"/>
        <v>78398</v>
      </c>
      <c r="G31" s="1"/>
      <c r="H31" s="4"/>
      <c r="I31" s="4"/>
      <c r="J31" s="4"/>
      <c r="K31" s="4"/>
      <c r="L31" s="4"/>
      <c r="M31" s="4"/>
      <c r="N31" s="1">
        <f t="shared" ref="N31:N41" si="28">(F31+G31)*10%</f>
        <v>7839.8</v>
      </c>
      <c r="O31" s="1">
        <f t="shared" ref="O31:O36" si="29">SUM(F31+G31+H31+I31+M31+N31+J31+K31+L31)</f>
        <v>86237.8</v>
      </c>
      <c r="P31" s="18" t="s">
        <v>40</v>
      </c>
      <c r="Q31" s="1">
        <f t="shared" ref="Q31:Q36" si="30">E31*1.45</f>
        <v>113677.09999999999</v>
      </c>
      <c r="R31" s="35">
        <f t="shared" ref="R31:R36" si="31">Q31*B31</f>
        <v>113677.09999999999</v>
      </c>
      <c r="S31" s="18"/>
      <c r="T31" s="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1">
        <f t="shared" ref="AG31:AG41" si="32">(R31+S31)*10%</f>
        <v>11367.71</v>
      </c>
      <c r="AH31" s="1">
        <f t="shared" ref="AH31:AH36" si="33">SUM(R31:AG31)</f>
        <v>125044.81</v>
      </c>
      <c r="AI31" s="5">
        <f t="shared" ref="AI31:AI36" si="34">O31</f>
        <v>86237.8</v>
      </c>
      <c r="AJ31" s="1">
        <f t="shared" ref="AJ31:AJ36" si="35">AH31-AI31</f>
        <v>38807.009999999995</v>
      </c>
    </row>
    <row r="32" spans="1:37" s="31" customFormat="1" ht="15" x14ac:dyDescent="0.2">
      <c r="A32" s="68" t="s">
        <v>39</v>
      </c>
      <c r="B32" s="36">
        <v>0.7</v>
      </c>
      <c r="C32" s="49" t="s">
        <v>72</v>
      </c>
      <c r="D32" s="18" t="s">
        <v>40</v>
      </c>
      <c r="E32" s="35">
        <v>81583</v>
      </c>
      <c r="F32" s="35">
        <f>E32*B32</f>
        <v>57108.1</v>
      </c>
      <c r="G32" s="1">
        <f>F32*0.25</f>
        <v>14277.025</v>
      </c>
      <c r="H32" s="4"/>
      <c r="I32" s="4"/>
      <c r="J32" s="4"/>
      <c r="K32" s="5">
        <f>(17697*30%)*B32</f>
        <v>3716.3699999999994</v>
      </c>
      <c r="L32" s="4"/>
      <c r="M32" s="5"/>
      <c r="N32" s="1">
        <f t="shared" si="28"/>
        <v>7138.5125000000007</v>
      </c>
      <c r="O32" s="1">
        <f t="shared" si="29"/>
        <v>82240.007499999992</v>
      </c>
      <c r="P32" s="18" t="s">
        <v>40</v>
      </c>
      <c r="Q32" s="1">
        <f t="shared" si="30"/>
        <v>118295.34999999999</v>
      </c>
      <c r="R32" s="35">
        <f t="shared" si="31"/>
        <v>82806.744999999995</v>
      </c>
      <c r="S32" s="1">
        <f>R32*0.25</f>
        <v>20701.686249999999</v>
      </c>
      <c r="T32" s="1"/>
      <c r="U32" s="5"/>
      <c r="V32" s="5"/>
      <c r="W32" s="5">
        <v>3716</v>
      </c>
      <c r="X32" s="4"/>
      <c r="Y32" s="4"/>
      <c r="Z32" s="4"/>
      <c r="AA32" s="5"/>
      <c r="AB32" s="4"/>
      <c r="AC32" s="4"/>
      <c r="AD32" s="4"/>
      <c r="AE32" s="4"/>
      <c r="AF32" s="4"/>
      <c r="AG32" s="1">
        <f t="shared" si="32"/>
        <v>10350.843124999999</v>
      </c>
      <c r="AH32" s="1">
        <f t="shared" si="33"/>
        <v>117575.27437499999</v>
      </c>
      <c r="AI32" s="5">
        <f t="shared" si="34"/>
        <v>82240.007499999992</v>
      </c>
      <c r="AJ32" s="1">
        <f t="shared" si="35"/>
        <v>35335.266875000001</v>
      </c>
    </row>
    <row r="33" spans="1:36" s="31" customFormat="1" ht="15" x14ac:dyDescent="0.2">
      <c r="A33" s="68" t="s">
        <v>93</v>
      </c>
      <c r="B33" s="36">
        <v>1</v>
      </c>
      <c r="C33" s="17" t="s">
        <v>51</v>
      </c>
      <c r="D33" s="18" t="s">
        <v>41</v>
      </c>
      <c r="E33" s="35">
        <v>65125</v>
      </c>
      <c r="F33" s="35">
        <f t="shared" si="27"/>
        <v>65125</v>
      </c>
      <c r="G33" s="4"/>
      <c r="H33" s="4"/>
      <c r="I33" s="4"/>
      <c r="J33" s="4"/>
      <c r="K33" s="4"/>
      <c r="L33" s="4"/>
      <c r="M33" s="4"/>
      <c r="N33" s="1">
        <f t="shared" si="28"/>
        <v>6512.5</v>
      </c>
      <c r="O33" s="1">
        <f t="shared" si="29"/>
        <v>71637.5</v>
      </c>
      <c r="P33" s="18" t="s">
        <v>41</v>
      </c>
      <c r="Q33" s="1">
        <f t="shared" si="30"/>
        <v>94431.25</v>
      </c>
      <c r="R33" s="35">
        <f t="shared" si="31"/>
        <v>94431.25</v>
      </c>
      <c r="S33" s="18"/>
      <c r="T33" s="1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1">
        <f t="shared" si="32"/>
        <v>9443.125</v>
      </c>
      <c r="AH33" s="1">
        <f t="shared" si="33"/>
        <v>103874.375</v>
      </c>
      <c r="AI33" s="5">
        <f t="shared" si="34"/>
        <v>71637.5</v>
      </c>
      <c r="AJ33" s="1">
        <f t="shared" si="35"/>
        <v>32236.875</v>
      </c>
    </row>
    <row r="34" spans="1:36" s="31" customFormat="1" ht="20.25" customHeight="1" x14ac:dyDescent="0.2">
      <c r="A34" s="64" t="s">
        <v>94</v>
      </c>
      <c r="B34" s="36">
        <v>1</v>
      </c>
      <c r="C34" s="17" t="s">
        <v>62</v>
      </c>
      <c r="D34" s="18" t="s">
        <v>41</v>
      </c>
      <c r="E34" s="35">
        <v>63886</v>
      </c>
      <c r="F34" s="35">
        <f t="shared" si="27"/>
        <v>63886</v>
      </c>
      <c r="G34" s="4"/>
      <c r="H34" s="4"/>
      <c r="I34" s="4"/>
      <c r="J34" s="4"/>
      <c r="K34" s="4"/>
      <c r="L34" s="4"/>
      <c r="M34" s="4"/>
      <c r="N34" s="1">
        <f t="shared" si="28"/>
        <v>6388.6</v>
      </c>
      <c r="O34" s="1">
        <f t="shared" si="29"/>
        <v>70274.600000000006</v>
      </c>
      <c r="P34" s="18" t="s">
        <v>41</v>
      </c>
      <c r="Q34" s="1">
        <f t="shared" si="30"/>
        <v>92634.7</v>
      </c>
      <c r="R34" s="35">
        <f t="shared" si="31"/>
        <v>92634.7</v>
      </c>
      <c r="S34" s="18"/>
      <c r="T34" s="1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1">
        <f t="shared" si="32"/>
        <v>9263.4699999999993</v>
      </c>
      <c r="AH34" s="1">
        <f t="shared" si="33"/>
        <v>101898.17</v>
      </c>
      <c r="AI34" s="5">
        <f t="shared" si="34"/>
        <v>70274.600000000006</v>
      </c>
      <c r="AJ34" s="1">
        <f t="shared" si="35"/>
        <v>31623.569999999992</v>
      </c>
    </row>
    <row r="35" spans="1:36" s="31" customFormat="1" ht="15" x14ac:dyDescent="0.2">
      <c r="A35" s="68" t="s">
        <v>42</v>
      </c>
      <c r="B35" s="36">
        <v>1</v>
      </c>
      <c r="C35" s="17" t="s">
        <v>51</v>
      </c>
      <c r="D35" s="18" t="s">
        <v>41</v>
      </c>
      <c r="E35" s="35">
        <v>65125</v>
      </c>
      <c r="F35" s="35">
        <f t="shared" si="27"/>
        <v>65125</v>
      </c>
      <c r="G35" s="4"/>
      <c r="H35" s="4"/>
      <c r="I35" s="4"/>
      <c r="J35" s="4"/>
      <c r="K35" s="4"/>
      <c r="L35" s="4"/>
      <c r="M35" s="4"/>
      <c r="N35" s="1">
        <f t="shared" si="28"/>
        <v>6512.5</v>
      </c>
      <c r="O35" s="1">
        <f t="shared" si="29"/>
        <v>71637.5</v>
      </c>
      <c r="P35" s="18" t="s">
        <v>41</v>
      </c>
      <c r="Q35" s="1">
        <f t="shared" si="30"/>
        <v>94431.25</v>
      </c>
      <c r="R35" s="35">
        <f t="shared" si="31"/>
        <v>94431.25</v>
      </c>
      <c r="S35" s="18"/>
      <c r="T35" s="1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1">
        <f t="shared" si="32"/>
        <v>9443.125</v>
      </c>
      <c r="AH35" s="1">
        <f t="shared" si="33"/>
        <v>103874.375</v>
      </c>
      <c r="AI35" s="5">
        <f t="shared" si="34"/>
        <v>71637.5</v>
      </c>
      <c r="AJ35" s="1">
        <f t="shared" si="35"/>
        <v>32236.875</v>
      </c>
    </row>
    <row r="36" spans="1:36" s="31" customFormat="1" ht="30" x14ac:dyDescent="0.2">
      <c r="A36" s="68" t="s">
        <v>71</v>
      </c>
      <c r="B36" s="36">
        <v>1</v>
      </c>
      <c r="C36" s="15" t="s">
        <v>50</v>
      </c>
      <c r="D36" s="18" t="s">
        <v>41</v>
      </c>
      <c r="E36" s="39">
        <v>61940</v>
      </c>
      <c r="F36" s="35">
        <f t="shared" si="27"/>
        <v>61940</v>
      </c>
      <c r="G36" s="4"/>
      <c r="H36" s="4"/>
      <c r="I36" s="4"/>
      <c r="J36" s="4"/>
      <c r="K36" s="4"/>
      <c r="L36" s="4"/>
      <c r="M36" s="4"/>
      <c r="N36" s="1">
        <f t="shared" si="28"/>
        <v>6194</v>
      </c>
      <c r="O36" s="1">
        <f t="shared" si="29"/>
        <v>68134</v>
      </c>
      <c r="P36" s="18" t="s">
        <v>41</v>
      </c>
      <c r="Q36" s="1">
        <f t="shared" si="30"/>
        <v>89813</v>
      </c>
      <c r="R36" s="35">
        <f t="shared" si="31"/>
        <v>89813</v>
      </c>
      <c r="S36" s="18"/>
      <c r="T36" s="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">
        <f t="shared" si="32"/>
        <v>8981.3000000000011</v>
      </c>
      <c r="AH36" s="1">
        <f t="shared" si="33"/>
        <v>98794.3</v>
      </c>
      <c r="AI36" s="5">
        <f t="shared" si="34"/>
        <v>68134</v>
      </c>
      <c r="AJ36" s="1">
        <f t="shared" si="35"/>
        <v>30660.300000000003</v>
      </c>
    </row>
    <row r="37" spans="1:36" s="58" customFormat="1" ht="30.75" customHeight="1" x14ac:dyDescent="0.2">
      <c r="A37" s="74" t="s">
        <v>21</v>
      </c>
      <c r="B37" s="6">
        <f>SUM(B30:B36)</f>
        <v>6.7</v>
      </c>
      <c r="C37" s="6"/>
      <c r="D37" s="6"/>
      <c r="E37" s="4"/>
      <c r="F37" s="4">
        <f>SUM(F30:F36)</f>
        <v>469980.1</v>
      </c>
      <c r="G37" s="4">
        <f t="shared" ref="G37:N37" si="36">SUM(G30:G36)</f>
        <v>14277.025</v>
      </c>
      <c r="H37" s="4">
        <f t="shared" si="36"/>
        <v>0</v>
      </c>
      <c r="I37" s="4">
        <f t="shared" si="36"/>
        <v>0</v>
      </c>
      <c r="J37" s="4">
        <f t="shared" si="36"/>
        <v>0</v>
      </c>
      <c r="K37" s="4">
        <f t="shared" si="36"/>
        <v>3716.3699999999994</v>
      </c>
      <c r="L37" s="4">
        <f t="shared" si="36"/>
        <v>0</v>
      </c>
      <c r="M37" s="4">
        <f t="shared" si="36"/>
        <v>0</v>
      </c>
      <c r="N37" s="4">
        <f t="shared" si="36"/>
        <v>48425.712500000001</v>
      </c>
      <c r="O37" s="4">
        <f>SUM(O30:O36)</f>
        <v>536399.20750000002</v>
      </c>
      <c r="P37" s="4"/>
      <c r="Q37" s="4"/>
      <c r="R37" s="4">
        <f t="shared" ref="R37:AI37" si="37">SUM(R30:R36)</f>
        <v>681471.14500000002</v>
      </c>
      <c r="S37" s="4">
        <f t="shared" si="37"/>
        <v>20701.686249999999</v>
      </c>
      <c r="T37" s="4">
        <f t="shared" si="37"/>
        <v>0</v>
      </c>
      <c r="U37" s="4">
        <f t="shared" si="37"/>
        <v>0</v>
      </c>
      <c r="V37" s="4">
        <f t="shared" si="37"/>
        <v>0</v>
      </c>
      <c r="W37" s="4">
        <f t="shared" si="37"/>
        <v>3716</v>
      </c>
      <c r="X37" s="4">
        <f t="shared" si="37"/>
        <v>0</v>
      </c>
      <c r="Y37" s="4">
        <f t="shared" si="37"/>
        <v>0</v>
      </c>
      <c r="Z37" s="4">
        <f t="shared" si="37"/>
        <v>0</v>
      </c>
      <c r="AA37" s="4">
        <f t="shared" si="37"/>
        <v>0</v>
      </c>
      <c r="AB37" s="4">
        <f t="shared" si="37"/>
        <v>0</v>
      </c>
      <c r="AC37" s="4">
        <f t="shared" si="37"/>
        <v>0</v>
      </c>
      <c r="AD37" s="4">
        <f t="shared" si="37"/>
        <v>0</v>
      </c>
      <c r="AE37" s="4">
        <f t="shared" si="37"/>
        <v>0</v>
      </c>
      <c r="AF37" s="4">
        <f t="shared" si="37"/>
        <v>0</v>
      </c>
      <c r="AG37" s="4">
        <f t="shared" si="37"/>
        <v>70217.283125000002</v>
      </c>
      <c r="AH37" s="4">
        <f t="shared" si="37"/>
        <v>776106.114375</v>
      </c>
      <c r="AI37" s="4">
        <f t="shared" si="37"/>
        <v>536399.20750000002</v>
      </c>
      <c r="AJ37" s="4">
        <f>SUM(AJ30:AJ36)</f>
        <v>239706.90687499999</v>
      </c>
    </row>
    <row r="38" spans="1:36" s="31" customFormat="1" ht="16.5" customHeight="1" x14ac:dyDescent="0.2">
      <c r="A38" s="68" t="s">
        <v>60</v>
      </c>
      <c r="B38" s="36">
        <v>0.5</v>
      </c>
      <c r="C38" s="17" t="s">
        <v>51</v>
      </c>
      <c r="D38" s="18" t="s">
        <v>43</v>
      </c>
      <c r="E38" s="39">
        <v>58223</v>
      </c>
      <c r="F38" s="39">
        <f>E38*B38</f>
        <v>29111.5</v>
      </c>
      <c r="G38" s="4"/>
      <c r="H38" s="4"/>
      <c r="I38" s="4"/>
      <c r="J38" s="4"/>
      <c r="K38" s="4"/>
      <c r="L38" s="4"/>
      <c r="M38" s="4"/>
      <c r="N38" s="1"/>
      <c r="O38" s="1">
        <f>SUM(F38+G38+H38+I38+M38+N38+J38)</f>
        <v>29111.5</v>
      </c>
      <c r="P38" s="18" t="s">
        <v>43</v>
      </c>
      <c r="Q38" s="1">
        <f>E38*1.45</f>
        <v>84423.349999999991</v>
      </c>
      <c r="R38" s="35">
        <f>Q38*B38</f>
        <v>42211.674999999996</v>
      </c>
      <c r="S38" s="18"/>
      <c r="T38" s="1"/>
      <c r="U38" s="4"/>
      <c r="V38" s="4"/>
      <c r="W38" s="4"/>
      <c r="X38" s="4"/>
      <c r="Y38" s="5"/>
      <c r="Z38" s="4"/>
      <c r="AA38" s="4"/>
      <c r="AB38" s="4"/>
      <c r="AC38" s="4"/>
      <c r="AD38" s="4"/>
      <c r="AE38" s="4"/>
      <c r="AF38" s="4"/>
      <c r="AG38" s="1"/>
      <c r="AH38" s="1">
        <f>SUM(R38+S38+T38+U38+AB38+AC38+AD38+AE38+AF38+AG38+Y38+Z38+AA38+V38)</f>
        <v>42211.674999999996</v>
      </c>
      <c r="AI38" s="5">
        <f>O38</f>
        <v>29111.5</v>
      </c>
      <c r="AJ38" s="1">
        <f>AH38-AI38</f>
        <v>13100.174999999996</v>
      </c>
    </row>
    <row r="39" spans="1:36" s="31" customFormat="1" ht="15.75" customHeight="1" x14ac:dyDescent="0.2">
      <c r="A39" s="68" t="s">
        <v>65</v>
      </c>
      <c r="B39" s="36">
        <v>0.5</v>
      </c>
      <c r="C39" s="17" t="s">
        <v>62</v>
      </c>
      <c r="D39" s="18" t="s">
        <v>43</v>
      </c>
      <c r="E39" s="39">
        <v>56984</v>
      </c>
      <c r="F39" s="40">
        <f>E39*B39</f>
        <v>28492</v>
      </c>
      <c r="G39" s="4"/>
      <c r="H39" s="4"/>
      <c r="I39" s="4"/>
      <c r="J39" s="4"/>
      <c r="K39" s="4"/>
      <c r="L39" s="4"/>
      <c r="M39" s="4"/>
      <c r="N39" s="1"/>
      <c r="O39" s="1">
        <f t="shared" ref="O39:O41" si="38">SUM(F39+G39+H39+I39+M39+N39+J39)</f>
        <v>28492</v>
      </c>
      <c r="P39" s="18" t="s">
        <v>43</v>
      </c>
      <c r="Q39" s="1">
        <f>E39*1.45</f>
        <v>82626.8</v>
      </c>
      <c r="R39" s="35">
        <f>Q39*B39</f>
        <v>41313.4</v>
      </c>
      <c r="S39" s="18"/>
      <c r="T39" s="1"/>
      <c r="U39" s="4"/>
      <c r="V39" s="4"/>
      <c r="W39" s="4"/>
      <c r="X39" s="4"/>
      <c r="Y39" s="5"/>
      <c r="Z39" s="4"/>
      <c r="AA39" s="4"/>
      <c r="AB39" s="4"/>
      <c r="AC39" s="4"/>
      <c r="AD39" s="4"/>
      <c r="AE39" s="4"/>
      <c r="AF39" s="4"/>
      <c r="AG39" s="1"/>
      <c r="AH39" s="1">
        <f>SUM(R39+S39+T39+U39+AB39+AC39+AD39+AE39+AF39+AG39+Y39+Z39+AA39+V39)</f>
        <v>41313.4</v>
      </c>
      <c r="AI39" s="5">
        <f t="shared" ref="AI39" si="39">O39</f>
        <v>28492</v>
      </c>
      <c r="AJ39" s="1">
        <f t="shared" ref="AJ39" si="40">AH39-AI39</f>
        <v>12821.400000000001</v>
      </c>
    </row>
    <row r="40" spans="1:36" s="31" customFormat="1" ht="15.75" customHeight="1" x14ac:dyDescent="0.2">
      <c r="A40" s="71" t="s">
        <v>69</v>
      </c>
      <c r="B40" s="36">
        <v>1</v>
      </c>
      <c r="C40" s="15" t="s">
        <v>50</v>
      </c>
      <c r="D40" s="18" t="s">
        <v>40</v>
      </c>
      <c r="E40" s="35">
        <v>78398</v>
      </c>
      <c r="F40" s="40">
        <f t="shared" ref="F40:F41" si="41">E40*B40</f>
        <v>78398</v>
      </c>
      <c r="G40" s="4"/>
      <c r="H40" s="4"/>
      <c r="I40" s="4"/>
      <c r="J40" s="4"/>
      <c r="K40" s="4"/>
      <c r="L40" s="4"/>
      <c r="M40" s="4"/>
      <c r="N40" s="1">
        <f t="shared" si="28"/>
        <v>7839.8</v>
      </c>
      <c r="O40" s="1">
        <f t="shared" si="38"/>
        <v>86237.8</v>
      </c>
      <c r="P40" s="18" t="s">
        <v>40</v>
      </c>
      <c r="Q40" s="1">
        <f t="shared" ref="Q40:Q41" si="42">E40*1.45</f>
        <v>113677.09999999999</v>
      </c>
      <c r="R40" s="35">
        <f t="shared" ref="R40:R41" si="43">Q40*B40</f>
        <v>113677.09999999999</v>
      </c>
      <c r="S40" s="18"/>
      <c r="T40" s="1"/>
      <c r="U40" s="4"/>
      <c r="V40" s="4"/>
      <c r="W40" s="4"/>
      <c r="X40" s="4"/>
      <c r="Y40" s="5"/>
      <c r="Z40" s="4"/>
      <c r="AA40" s="4"/>
      <c r="AB40" s="4"/>
      <c r="AC40" s="4"/>
      <c r="AD40" s="4"/>
      <c r="AE40" s="4"/>
      <c r="AF40" s="4"/>
      <c r="AG40" s="1">
        <f t="shared" si="32"/>
        <v>11367.71</v>
      </c>
      <c r="AH40" s="1">
        <f t="shared" ref="AH40:AH41" si="44">SUM(R40+S40+T40+U40+AB40+AC40+AD40+AE40+AF40+AG40+Y40+Z40+AA40+V40)</f>
        <v>125044.81</v>
      </c>
      <c r="AI40" s="5">
        <f t="shared" ref="AI40:AI41" si="45">O40</f>
        <v>86237.8</v>
      </c>
      <c r="AJ40" s="1">
        <f t="shared" ref="AJ40:AJ41" si="46">AH40-AI40</f>
        <v>38807.009999999995</v>
      </c>
    </row>
    <row r="41" spans="1:36" s="31" customFormat="1" ht="15.75" customHeight="1" x14ac:dyDescent="0.2">
      <c r="A41" s="71" t="s">
        <v>100</v>
      </c>
      <c r="B41" s="36">
        <v>1</v>
      </c>
      <c r="C41" s="15" t="s">
        <v>53</v>
      </c>
      <c r="D41" s="50" t="s">
        <v>40</v>
      </c>
      <c r="E41" s="51">
        <v>78929</v>
      </c>
      <c r="F41" s="40">
        <f t="shared" si="41"/>
        <v>78929</v>
      </c>
      <c r="G41" s="4"/>
      <c r="H41" s="4"/>
      <c r="I41" s="4"/>
      <c r="J41" s="4"/>
      <c r="K41" s="4"/>
      <c r="L41" s="4"/>
      <c r="M41" s="4"/>
      <c r="N41" s="1">
        <f t="shared" si="28"/>
        <v>7892.9000000000005</v>
      </c>
      <c r="O41" s="1">
        <f t="shared" si="38"/>
        <v>86821.9</v>
      </c>
      <c r="P41" s="50" t="s">
        <v>40</v>
      </c>
      <c r="Q41" s="1">
        <f t="shared" si="42"/>
        <v>114447.05</v>
      </c>
      <c r="R41" s="35">
        <f t="shared" si="43"/>
        <v>114447.05</v>
      </c>
      <c r="S41" s="18"/>
      <c r="T41" s="1"/>
      <c r="U41" s="4"/>
      <c r="V41" s="4"/>
      <c r="W41" s="4"/>
      <c r="X41" s="4"/>
      <c r="Y41" s="5"/>
      <c r="Z41" s="4"/>
      <c r="AA41" s="4"/>
      <c r="AB41" s="4"/>
      <c r="AC41" s="4"/>
      <c r="AD41" s="4"/>
      <c r="AE41" s="4"/>
      <c r="AF41" s="4"/>
      <c r="AG41" s="1">
        <f t="shared" si="32"/>
        <v>11444.705000000002</v>
      </c>
      <c r="AH41" s="1">
        <f t="shared" si="44"/>
        <v>125891.755</v>
      </c>
      <c r="AI41" s="5">
        <f t="shared" si="45"/>
        <v>86821.9</v>
      </c>
      <c r="AJ41" s="1">
        <f t="shared" si="46"/>
        <v>39069.85500000001</v>
      </c>
    </row>
    <row r="42" spans="1:36" s="31" customFormat="1" ht="29.25" customHeight="1" x14ac:dyDescent="0.2">
      <c r="A42" s="74" t="s">
        <v>22</v>
      </c>
      <c r="B42" s="6">
        <f>SUM(B38:B41)</f>
        <v>3</v>
      </c>
      <c r="C42" s="6"/>
      <c r="D42" s="6"/>
      <c r="E42" s="6"/>
      <c r="F42" s="41">
        <f t="shared" ref="F42" si="47">SUM(F38:F41)</f>
        <v>214930.5</v>
      </c>
      <c r="G42" s="41">
        <f t="shared" ref="G42" si="48">SUM(G38:G41)</f>
        <v>0</v>
      </c>
      <c r="H42" s="41">
        <f t="shared" ref="H42" si="49">SUM(H38:H41)</f>
        <v>0</v>
      </c>
      <c r="I42" s="41">
        <f t="shared" ref="I42" si="50">SUM(I38:I41)</f>
        <v>0</v>
      </c>
      <c r="J42" s="41">
        <f t="shared" ref="J42" si="51">SUM(J38:J41)</f>
        <v>0</v>
      </c>
      <c r="K42" s="41">
        <f t="shared" ref="K42" si="52">SUM(K38:K41)</f>
        <v>0</v>
      </c>
      <c r="L42" s="41">
        <f t="shared" ref="L42" si="53">SUM(L38:L41)</f>
        <v>0</v>
      </c>
      <c r="M42" s="41">
        <f t="shared" ref="M42" si="54">SUM(M38:M41)</f>
        <v>0</v>
      </c>
      <c r="N42" s="6">
        <f t="shared" ref="N42:O42" si="55">SUM(N38:N41)</f>
        <v>15732.7</v>
      </c>
      <c r="O42" s="41">
        <f t="shared" si="55"/>
        <v>230663.19999999998</v>
      </c>
      <c r="P42" s="41"/>
      <c r="Q42" s="41">
        <f t="shared" ref="Q42:R42" si="56">SUM(Q38:Q41)</f>
        <v>395174.3</v>
      </c>
      <c r="R42" s="41">
        <f t="shared" si="56"/>
        <v>311649.22499999998</v>
      </c>
      <c r="S42" s="41">
        <f t="shared" ref="S42" si="57">SUM(S38:S41)</f>
        <v>0</v>
      </c>
      <c r="T42" s="41">
        <f t="shared" ref="T42" si="58">SUM(T38:T41)</f>
        <v>0</v>
      </c>
      <c r="U42" s="41">
        <f t="shared" ref="U42" si="59">SUM(U38:U41)</f>
        <v>0</v>
      </c>
      <c r="V42" s="41">
        <f t="shared" ref="V42" si="60">SUM(V38:V41)</f>
        <v>0</v>
      </c>
      <c r="W42" s="41">
        <f t="shared" ref="W42" si="61">SUM(W38:W41)</f>
        <v>0</v>
      </c>
      <c r="X42" s="41">
        <f t="shared" ref="X42" si="62">SUM(X38:X41)</f>
        <v>0</v>
      </c>
      <c r="Y42" s="41">
        <f t="shared" ref="Y42" si="63">SUM(Y38:Y41)</f>
        <v>0</v>
      </c>
      <c r="Z42" s="41">
        <f t="shared" ref="Z42" si="64">SUM(Z38:Z41)</f>
        <v>0</v>
      </c>
      <c r="AA42" s="41">
        <f t="shared" ref="AA42" si="65">SUM(AA38:AA41)</f>
        <v>0</v>
      </c>
      <c r="AB42" s="41">
        <f t="shared" ref="AB42" si="66">SUM(AB38:AB41)</f>
        <v>0</v>
      </c>
      <c r="AC42" s="41">
        <f t="shared" ref="AC42" si="67">SUM(AC38:AC41)</f>
        <v>0</v>
      </c>
      <c r="AD42" s="41">
        <f t="shared" ref="AD42" si="68">SUM(AD38:AD41)</f>
        <v>0</v>
      </c>
      <c r="AE42" s="41">
        <f t="shared" ref="AE42" si="69">SUM(AE38:AE41)</f>
        <v>0</v>
      </c>
      <c r="AF42" s="41">
        <f t="shared" ref="AF42" si="70">SUM(AF38:AF41)</f>
        <v>0</v>
      </c>
      <c r="AG42" s="41">
        <f t="shared" ref="AG42" si="71">SUM(AG38:AG41)</f>
        <v>22812.415000000001</v>
      </c>
      <c r="AH42" s="41">
        <f t="shared" ref="AH42" si="72">SUM(AH38:AH41)</f>
        <v>334461.64</v>
      </c>
      <c r="AI42" s="41">
        <f t="shared" ref="AI42" si="73">SUM(AI38:AI41)</f>
        <v>230663.19999999998</v>
      </c>
      <c r="AJ42" s="41">
        <f t="shared" ref="AJ42" si="74">SUM(AJ38:AJ41)</f>
        <v>103798.44</v>
      </c>
    </row>
    <row r="43" spans="1:36" s="31" customFormat="1" ht="15.75" customHeight="1" x14ac:dyDescent="0.2">
      <c r="A43" s="64" t="s">
        <v>66</v>
      </c>
      <c r="B43" s="36">
        <v>1</v>
      </c>
      <c r="C43" s="6"/>
      <c r="D43" s="18">
        <v>2</v>
      </c>
      <c r="E43" s="35">
        <v>49729</v>
      </c>
      <c r="F43" s="1">
        <f>E43*B43</f>
        <v>49729</v>
      </c>
      <c r="G43" s="41"/>
      <c r="H43" s="41"/>
      <c r="I43" s="41"/>
      <c r="J43" s="41"/>
      <c r="K43" s="41"/>
      <c r="L43" s="41"/>
      <c r="M43" s="41"/>
      <c r="N43" s="1">
        <f>(F43+G43)*10%</f>
        <v>4972.9000000000005</v>
      </c>
      <c r="O43" s="1">
        <f>SUM(F43+G43+H43+I43+M43+N43+J43)</f>
        <v>54701.9</v>
      </c>
      <c r="P43" s="18">
        <v>2</v>
      </c>
      <c r="Q43" s="1">
        <f>E43*1.45</f>
        <v>72107.05</v>
      </c>
      <c r="R43" s="35">
        <f t="shared" ref="R43:R53" si="75">Q43*B43</f>
        <v>72107.05</v>
      </c>
      <c r="S43" s="35"/>
      <c r="T43" s="42">
        <f>S43*B43</f>
        <v>0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1">
        <f>(R43+S43)*10%</f>
        <v>7210.7050000000008</v>
      </c>
      <c r="AH43" s="1">
        <f>R43+S43+T43+U43+V43+W43+Y43+Z43+AA43++AB43+AC43+AD43+AE43+AF43+AG43</f>
        <v>79317.755000000005</v>
      </c>
      <c r="AI43" s="5">
        <f>O43</f>
        <v>54701.9</v>
      </c>
      <c r="AJ43" s="1">
        <f>AH43-AI43</f>
        <v>24615.855000000003</v>
      </c>
    </row>
    <row r="44" spans="1:36" s="31" customFormat="1" ht="15" customHeight="1" x14ac:dyDescent="0.2">
      <c r="A44" s="68" t="s">
        <v>67</v>
      </c>
      <c r="B44" s="36">
        <v>1</v>
      </c>
      <c r="C44" s="6"/>
      <c r="D44" s="18">
        <v>2</v>
      </c>
      <c r="E44" s="35">
        <v>49729</v>
      </c>
      <c r="F44" s="1">
        <f t="shared" ref="F44:F53" si="76">E44*B44</f>
        <v>49729</v>
      </c>
      <c r="G44" s="41"/>
      <c r="H44" s="41"/>
      <c r="I44" s="41"/>
      <c r="J44" s="41"/>
      <c r="K44" s="41"/>
      <c r="L44" s="41"/>
      <c r="M44" s="41"/>
      <c r="N44" s="1">
        <f t="shared" ref="N44:N53" si="77">(F44+G44)*10%</f>
        <v>4972.9000000000005</v>
      </c>
      <c r="O44" s="1">
        <f t="shared" ref="O44:O53" si="78">SUM(F44+G44+H44+I44+M44+N44+J44)</f>
        <v>54701.9</v>
      </c>
      <c r="P44" s="18">
        <v>2</v>
      </c>
      <c r="Q44" s="1">
        <f t="shared" ref="Q44:Q53" si="79">E44*1.45</f>
        <v>72107.05</v>
      </c>
      <c r="R44" s="35">
        <f t="shared" si="75"/>
        <v>72107.05</v>
      </c>
      <c r="S44" s="35"/>
      <c r="T44" s="42">
        <f>S44*B44</f>
        <v>0</v>
      </c>
      <c r="U44" s="3"/>
      <c r="V44" s="3"/>
      <c r="W44" s="3"/>
      <c r="X44" s="3"/>
      <c r="Y44" s="43"/>
      <c r="Z44" s="3"/>
      <c r="AA44" s="3"/>
      <c r="AB44" s="3"/>
      <c r="AC44" s="3"/>
      <c r="AD44" s="3"/>
      <c r="AE44" s="3"/>
      <c r="AF44" s="3"/>
      <c r="AG44" s="1">
        <f t="shared" ref="AG44:AG53" si="80">(R44+S44)*10%</f>
        <v>7210.7050000000008</v>
      </c>
      <c r="AH44" s="1">
        <f t="shared" ref="AH44:AH53" si="81">R44+S44+T44+U44+V44+W44+Y44+Z44+AA44++AB44+AC44+AD44+AE44+AF44+AG44</f>
        <v>79317.755000000005</v>
      </c>
      <c r="AI44" s="5">
        <f t="shared" ref="AI44:AI53" si="82">O44</f>
        <v>54701.9</v>
      </c>
      <c r="AJ44" s="1">
        <f t="shared" ref="AJ44:AJ53" si="83">AH44-AI44</f>
        <v>24615.855000000003</v>
      </c>
    </row>
    <row r="45" spans="1:36" s="31" customFormat="1" ht="15" x14ac:dyDescent="0.2">
      <c r="A45" s="68" t="s">
        <v>95</v>
      </c>
      <c r="B45" s="36">
        <v>6</v>
      </c>
      <c r="C45" s="6"/>
      <c r="D45" s="18">
        <v>1</v>
      </c>
      <c r="E45" s="35">
        <v>49021</v>
      </c>
      <c r="F45" s="1">
        <f>E45*B45</f>
        <v>294126</v>
      </c>
      <c r="G45" s="41"/>
      <c r="H45" s="41"/>
      <c r="I45" s="43">
        <f>F45*32%</f>
        <v>94120.320000000007</v>
      </c>
      <c r="J45" s="41"/>
      <c r="K45" s="41"/>
      <c r="L45" s="41"/>
      <c r="M45" s="41"/>
      <c r="N45" s="1">
        <f t="shared" si="77"/>
        <v>29412.600000000002</v>
      </c>
      <c r="O45" s="1">
        <f t="shared" si="78"/>
        <v>417658.92</v>
      </c>
      <c r="P45" s="18">
        <v>1</v>
      </c>
      <c r="Q45" s="1">
        <f t="shared" si="79"/>
        <v>71080.45</v>
      </c>
      <c r="R45" s="35">
        <f t="shared" si="75"/>
        <v>426482.69999999995</v>
      </c>
      <c r="S45" s="35"/>
      <c r="T45" s="42">
        <f>S45*B45</f>
        <v>0</v>
      </c>
      <c r="U45" s="43">
        <f>R45*32%</f>
        <v>136474.46399999998</v>
      </c>
      <c r="V45" s="3"/>
      <c r="W45" s="3"/>
      <c r="X45" s="3"/>
      <c r="Y45" s="43"/>
      <c r="Z45" s="3"/>
      <c r="AA45" s="3"/>
      <c r="AB45" s="3"/>
      <c r="AC45" s="3"/>
      <c r="AD45" s="3"/>
      <c r="AE45" s="3"/>
      <c r="AF45" s="3"/>
      <c r="AG45" s="1">
        <f t="shared" si="80"/>
        <v>42648.27</v>
      </c>
      <c r="AH45" s="1">
        <f t="shared" si="81"/>
        <v>605605.43399999989</v>
      </c>
      <c r="AI45" s="5">
        <f t="shared" si="82"/>
        <v>417658.92</v>
      </c>
      <c r="AJ45" s="1">
        <f t="shared" si="83"/>
        <v>187946.51399999991</v>
      </c>
    </row>
    <row r="46" spans="1:36" s="31" customFormat="1" ht="13.5" customHeight="1" x14ac:dyDescent="0.2">
      <c r="A46" s="68" t="s">
        <v>96</v>
      </c>
      <c r="B46" s="36">
        <v>3</v>
      </c>
      <c r="C46" s="6"/>
      <c r="D46" s="18">
        <v>2</v>
      </c>
      <c r="E46" s="35">
        <v>49729</v>
      </c>
      <c r="F46" s="1">
        <f t="shared" si="76"/>
        <v>149187</v>
      </c>
      <c r="G46" s="41"/>
      <c r="H46" s="41"/>
      <c r="I46" s="43">
        <f>(17697*30%)*B46</f>
        <v>15927.3</v>
      </c>
      <c r="J46" s="41"/>
      <c r="K46" s="41"/>
      <c r="L46" s="41"/>
      <c r="M46" s="41"/>
      <c r="N46" s="1">
        <f t="shared" si="77"/>
        <v>14918.7</v>
      </c>
      <c r="O46" s="1">
        <f t="shared" si="78"/>
        <v>180033</v>
      </c>
      <c r="P46" s="18">
        <v>2</v>
      </c>
      <c r="Q46" s="1">
        <f t="shared" si="79"/>
        <v>72107.05</v>
      </c>
      <c r="R46" s="35">
        <f t="shared" si="75"/>
        <v>216321.15000000002</v>
      </c>
      <c r="S46" s="35"/>
      <c r="T46" s="42">
        <f>S46*B46</f>
        <v>0</v>
      </c>
      <c r="U46" s="43">
        <f>(17697*30%)*B46</f>
        <v>15927.3</v>
      </c>
      <c r="V46" s="3"/>
      <c r="W46" s="3"/>
      <c r="X46" s="3"/>
      <c r="Y46" s="43"/>
      <c r="Z46" s="3"/>
      <c r="AA46" s="3"/>
      <c r="AB46" s="3"/>
      <c r="AC46" s="3"/>
      <c r="AD46" s="3"/>
      <c r="AE46" s="3"/>
      <c r="AF46" s="3"/>
      <c r="AG46" s="1">
        <f t="shared" si="80"/>
        <v>21632.115000000005</v>
      </c>
      <c r="AH46" s="1">
        <f t="shared" si="81"/>
        <v>253880.565</v>
      </c>
      <c r="AI46" s="5">
        <f t="shared" si="82"/>
        <v>180033</v>
      </c>
      <c r="AJ46" s="1">
        <f t="shared" si="83"/>
        <v>73847.565000000002</v>
      </c>
    </row>
    <row r="47" spans="1:36" s="31" customFormat="1" ht="15" x14ac:dyDescent="0.2">
      <c r="A47" s="68" t="s">
        <v>96</v>
      </c>
      <c r="B47" s="36">
        <v>1</v>
      </c>
      <c r="C47" s="6"/>
      <c r="D47" s="18">
        <v>2</v>
      </c>
      <c r="E47" s="35">
        <v>49729</v>
      </c>
      <c r="F47" s="1">
        <f t="shared" si="76"/>
        <v>49729</v>
      </c>
      <c r="G47" s="41"/>
      <c r="H47" s="41"/>
      <c r="I47" s="44">
        <f>17697*20%</f>
        <v>3539.4</v>
      </c>
      <c r="J47" s="41"/>
      <c r="K47" s="41"/>
      <c r="L47" s="41"/>
      <c r="M47" s="41"/>
      <c r="N47" s="1">
        <f t="shared" si="77"/>
        <v>4972.9000000000005</v>
      </c>
      <c r="O47" s="1">
        <f t="shared" si="78"/>
        <v>58241.3</v>
      </c>
      <c r="P47" s="18">
        <v>2</v>
      </c>
      <c r="Q47" s="1">
        <f t="shared" si="79"/>
        <v>72107.05</v>
      </c>
      <c r="R47" s="35">
        <f t="shared" si="75"/>
        <v>72107.05</v>
      </c>
      <c r="S47" s="35"/>
      <c r="T47" s="42">
        <f>S47*B47</f>
        <v>0</v>
      </c>
      <c r="U47" s="44">
        <f>17697*20%</f>
        <v>3539.4</v>
      </c>
      <c r="V47" s="3"/>
      <c r="W47" s="3"/>
      <c r="X47" s="3"/>
      <c r="Y47" s="43"/>
      <c r="Z47" s="3"/>
      <c r="AA47" s="3"/>
      <c r="AB47" s="3"/>
      <c r="AC47" s="3"/>
      <c r="AD47" s="3"/>
      <c r="AE47" s="3"/>
      <c r="AF47" s="3"/>
      <c r="AG47" s="1">
        <f t="shared" si="80"/>
        <v>7210.7050000000008</v>
      </c>
      <c r="AH47" s="1">
        <f t="shared" si="81"/>
        <v>82857.154999999999</v>
      </c>
      <c r="AI47" s="5">
        <f t="shared" si="82"/>
        <v>58241.3</v>
      </c>
      <c r="AJ47" s="1">
        <f t="shared" si="83"/>
        <v>24615.854999999996</v>
      </c>
    </row>
    <row r="48" spans="1:36" s="31" customFormat="1" ht="15" x14ac:dyDescent="0.2">
      <c r="A48" s="68" t="s">
        <v>97</v>
      </c>
      <c r="B48" s="36">
        <v>2</v>
      </c>
      <c r="C48" s="18"/>
      <c r="D48" s="18">
        <v>1</v>
      </c>
      <c r="E48" s="35">
        <v>49021</v>
      </c>
      <c r="F48" s="1">
        <f t="shared" si="76"/>
        <v>98042</v>
      </c>
      <c r="G48" s="41"/>
      <c r="H48" s="41"/>
      <c r="I48" s="44"/>
      <c r="J48" s="41"/>
      <c r="K48" s="41"/>
      <c r="L48" s="41"/>
      <c r="M48" s="41"/>
      <c r="N48" s="1">
        <f t="shared" si="77"/>
        <v>9804.2000000000007</v>
      </c>
      <c r="O48" s="1">
        <f t="shared" si="78"/>
        <v>107846.2</v>
      </c>
      <c r="P48" s="18">
        <v>1</v>
      </c>
      <c r="Q48" s="1">
        <f t="shared" si="79"/>
        <v>71080.45</v>
      </c>
      <c r="R48" s="35">
        <f t="shared" si="75"/>
        <v>142160.9</v>
      </c>
      <c r="S48" s="35"/>
      <c r="T48" s="42"/>
      <c r="U48" s="3"/>
      <c r="V48" s="3"/>
      <c r="W48" s="3"/>
      <c r="X48" s="3"/>
      <c r="Y48" s="43"/>
      <c r="Z48" s="3"/>
      <c r="AA48" s="3"/>
      <c r="AB48" s="3"/>
      <c r="AC48" s="3"/>
      <c r="AD48" s="3"/>
      <c r="AE48" s="3"/>
      <c r="AF48" s="3"/>
      <c r="AG48" s="1">
        <f t="shared" si="80"/>
        <v>14216.09</v>
      </c>
      <c r="AH48" s="1">
        <f t="shared" si="81"/>
        <v>156376.99</v>
      </c>
      <c r="AI48" s="5">
        <f t="shared" si="82"/>
        <v>107846.2</v>
      </c>
      <c r="AJ48" s="1">
        <f t="shared" si="83"/>
        <v>48530.789999999994</v>
      </c>
    </row>
    <row r="49" spans="1:37" s="31" customFormat="1" ht="15" x14ac:dyDescent="0.2">
      <c r="A49" s="71" t="s">
        <v>46</v>
      </c>
      <c r="B49" s="36">
        <v>0.5</v>
      </c>
      <c r="C49" s="18"/>
      <c r="D49" s="18">
        <v>3</v>
      </c>
      <c r="E49" s="35">
        <v>50259</v>
      </c>
      <c r="F49" s="1">
        <f t="shared" si="76"/>
        <v>25129.5</v>
      </c>
      <c r="G49" s="41"/>
      <c r="H49" s="41"/>
      <c r="I49" s="44"/>
      <c r="J49" s="41"/>
      <c r="K49" s="41"/>
      <c r="L49" s="41"/>
      <c r="M49" s="41"/>
      <c r="N49" s="1"/>
      <c r="O49" s="1">
        <f t="shared" ref="O49:O50" si="84">SUM(F49+G49+H49+I49+M49+N49+J49)</f>
        <v>25129.5</v>
      </c>
      <c r="P49" s="18">
        <v>3</v>
      </c>
      <c r="Q49" s="1">
        <f t="shared" si="79"/>
        <v>72875.55</v>
      </c>
      <c r="R49" s="35">
        <f t="shared" si="75"/>
        <v>36437.775000000001</v>
      </c>
      <c r="S49" s="35"/>
      <c r="T49" s="42"/>
      <c r="U49" s="3"/>
      <c r="V49" s="3"/>
      <c r="W49" s="3"/>
      <c r="X49" s="3"/>
      <c r="Y49" s="43"/>
      <c r="Z49" s="3"/>
      <c r="AA49" s="3"/>
      <c r="AB49" s="3"/>
      <c r="AC49" s="3"/>
      <c r="AD49" s="3"/>
      <c r="AE49" s="3"/>
      <c r="AF49" s="3"/>
      <c r="AG49" s="1"/>
      <c r="AH49" s="1">
        <f t="shared" ref="AH49:AH50" si="85">R49+S49+T49+U49+V49+W49+Y49+Z49+AA49++AB49+AC49+AD49+AE49+AF49+AG49</f>
        <v>36437.775000000001</v>
      </c>
      <c r="AI49" s="5">
        <f t="shared" ref="AI49:AI50" si="86">O49</f>
        <v>25129.5</v>
      </c>
      <c r="AJ49" s="1">
        <f t="shared" ref="AJ49:AJ50" si="87">AH49-AI49</f>
        <v>11308.275000000001</v>
      </c>
    </row>
    <row r="50" spans="1:37" s="31" customFormat="1" ht="30" x14ac:dyDescent="0.2">
      <c r="A50" s="72" t="s">
        <v>70</v>
      </c>
      <c r="B50" s="36">
        <v>1</v>
      </c>
      <c r="C50" s="18"/>
      <c r="D50" s="18">
        <v>3</v>
      </c>
      <c r="E50" s="35">
        <v>50259</v>
      </c>
      <c r="F50" s="1">
        <f t="shared" si="76"/>
        <v>50259</v>
      </c>
      <c r="G50" s="41"/>
      <c r="H50" s="41"/>
      <c r="I50" s="44"/>
      <c r="J50" s="41"/>
      <c r="K50" s="41"/>
      <c r="L50" s="41"/>
      <c r="M50" s="41"/>
      <c r="N50" s="1">
        <f t="shared" ref="N50" si="88">(F50+G50)*10%</f>
        <v>5025.9000000000005</v>
      </c>
      <c r="O50" s="1">
        <f t="shared" si="84"/>
        <v>55284.9</v>
      </c>
      <c r="P50" s="18">
        <v>3</v>
      </c>
      <c r="Q50" s="1">
        <f t="shared" si="79"/>
        <v>72875.55</v>
      </c>
      <c r="R50" s="35">
        <f t="shared" si="75"/>
        <v>72875.55</v>
      </c>
      <c r="S50" s="35"/>
      <c r="T50" s="42"/>
      <c r="U50" s="3"/>
      <c r="V50" s="3"/>
      <c r="W50" s="3"/>
      <c r="X50" s="3"/>
      <c r="Y50" s="43"/>
      <c r="Z50" s="3"/>
      <c r="AA50" s="3"/>
      <c r="AB50" s="3"/>
      <c r="AC50" s="3"/>
      <c r="AD50" s="3"/>
      <c r="AE50" s="3"/>
      <c r="AF50" s="3"/>
      <c r="AG50" s="1">
        <f t="shared" ref="AG50" si="89">(R50+S50)*10%</f>
        <v>7287.5550000000003</v>
      </c>
      <c r="AH50" s="1">
        <f t="shared" si="85"/>
        <v>80163.10500000001</v>
      </c>
      <c r="AI50" s="5">
        <f t="shared" si="86"/>
        <v>55284.9</v>
      </c>
      <c r="AJ50" s="1">
        <f t="shared" si="87"/>
        <v>24878.205000000009</v>
      </c>
    </row>
    <row r="51" spans="1:37" s="31" customFormat="1" ht="15" x14ac:dyDescent="0.2">
      <c r="A51" s="68" t="s">
        <v>98</v>
      </c>
      <c r="B51" s="36">
        <v>0.5</v>
      </c>
      <c r="C51" s="6"/>
      <c r="D51" s="18">
        <v>4</v>
      </c>
      <c r="E51" s="35">
        <v>51144</v>
      </c>
      <c r="F51" s="1">
        <f t="shared" si="76"/>
        <v>25572</v>
      </c>
      <c r="G51" s="41"/>
      <c r="H51" s="41"/>
      <c r="I51" s="41"/>
      <c r="J51" s="41"/>
      <c r="K51" s="41"/>
      <c r="L51" s="41"/>
      <c r="M51" s="41"/>
      <c r="N51" s="1">
        <f t="shared" si="77"/>
        <v>2557.2000000000003</v>
      </c>
      <c r="O51" s="1">
        <f t="shared" si="78"/>
        <v>28129.200000000001</v>
      </c>
      <c r="P51" s="18">
        <v>4</v>
      </c>
      <c r="Q51" s="1">
        <f t="shared" si="79"/>
        <v>74158.8</v>
      </c>
      <c r="R51" s="35">
        <f t="shared" si="75"/>
        <v>37079.4</v>
      </c>
      <c r="S51" s="35"/>
      <c r="T51" s="42">
        <f>S51*B51</f>
        <v>0</v>
      </c>
      <c r="U51" s="3"/>
      <c r="V51" s="3"/>
      <c r="W51" s="3"/>
      <c r="X51" s="3"/>
      <c r="Y51" s="43"/>
      <c r="Z51" s="3"/>
      <c r="AA51" s="3"/>
      <c r="AB51" s="3"/>
      <c r="AC51" s="3"/>
      <c r="AD51" s="3"/>
      <c r="AE51" s="3"/>
      <c r="AF51" s="3"/>
      <c r="AG51" s="1">
        <f t="shared" si="80"/>
        <v>3707.9400000000005</v>
      </c>
      <c r="AH51" s="1">
        <f t="shared" si="81"/>
        <v>40787.340000000004</v>
      </c>
      <c r="AI51" s="5">
        <f t="shared" si="82"/>
        <v>28129.200000000001</v>
      </c>
      <c r="AJ51" s="1">
        <f t="shared" si="83"/>
        <v>12658.140000000003</v>
      </c>
    </row>
    <row r="52" spans="1:37" s="31" customFormat="1" ht="15" x14ac:dyDescent="0.2">
      <c r="A52" s="68" t="s">
        <v>54</v>
      </c>
      <c r="B52" s="36">
        <v>1</v>
      </c>
      <c r="C52" s="6"/>
      <c r="D52" s="18">
        <v>4</v>
      </c>
      <c r="E52" s="35">
        <v>51144</v>
      </c>
      <c r="F52" s="1">
        <f t="shared" si="76"/>
        <v>51144</v>
      </c>
      <c r="G52" s="41"/>
      <c r="H52" s="41"/>
      <c r="I52" s="41"/>
      <c r="J52" s="41"/>
      <c r="K52" s="41"/>
      <c r="L52" s="41"/>
      <c r="M52" s="41"/>
      <c r="N52" s="1">
        <f t="shared" si="77"/>
        <v>5114.4000000000005</v>
      </c>
      <c r="O52" s="1">
        <f t="shared" si="78"/>
        <v>56258.400000000001</v>
      </c>
      <c r="P52" s="18">
        <v>4</v>
      </c>
      <c r="Q52" s="1">
        <f t="shared" si="79"/>
        <v>74158.8</v>
      </c>
      <c r="R52" s="35">
        <f t="shared" si="75"/>
        <v>74158.8</v>
      </c>
      <c r="S52" s="35"/>
      <c r="T52" s="42"/>
      <c r="U52" s="3"/>
      <c r="V52" s="3"/>
      <c r="W52" s="3"/>
      <c r="X52" s="3"/>
      <c r="Y52" s="43"/>
      <c r="Z52" s="3"/>
      <c r="AA52" s="3"/>
      <c r="AB52" s="3"/>
      <c r="AC52" s="3"/>
      <c r="AD52" s="3"/>
      <c r="AE52" s="3"/>
      <c r="AF52" s="3"/>
      <c r="AG52" s="1">
        <f t="shared" si="80"/>
        <v>7415.880000000001</v>
      </c>
      <c r="AH52" s="1">
        <f t="shared" si="81"/>
        <v>81574.680000000008</v>
      </c>
      <c r="AI52" s="5">
        <f t="shared" si="82"/>
        <v>56258.400000000001</v>
      </c>
      <c r="AJ52" s="1">
        <f t="shared" si="83"/>
        <v>25316.280000000006</v>
      </c>
    </row>
    <row r="53" spans="1:37" s="31" customFormat="1" ht="15" x14ac:dyDescent="0.2">
      <c r="A53" s="68" t="s">
        <v>99</v>
      </c>
      <c r="B53" s="36">
        <v>2</v>
      </c>
      <c r="C53" s="6"/>
      <c r="D53" s="44">
        <v>3</v>
      </c>
      <c r="E53" s="35">
        <v>50259</v>
      </c>
      <c r="F53" s="1">
        <f t="shared" si="76"/>
        <v>100518</v>
      </c>
      <c r="G53" s="41"/>
      <c r="H53" s="41"/>
      <c r="I53" s="41"/>
      <c r="J53" s="41"/>
      <c r="K53" s="41"/>
      <c r="L53" s="41"/>
      <c r="M53" s="41"/>
      <c r="N53" s="1">
        <f t="shared" si="77"/>
        <v>10051.800000000001</v>
      </c>
      <c r="O53" s="1">
        <f t="shared" si="78"/>
        <v>110569.8</v>
      </c>
      <c r="P53" s="44">
        <v>3</v>
      </c>
      <c r="Q53" s="1">
        <f t="shared" si="79"/>
        <v>72875.55</v>
      </c>
      <c r="R53" s="35">
        <f t="shared" si="75"/>
        <v>145751.1</v>
      </c>
      <c r="S53" s="35"/>
      <c r="T53" s="42">
        <f>S53*B53</f>
        <v>0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1">
        <f t="shared" si="80"/>
        <v>14575.11</v>
      </c>
      <c r="AH53" s="1">
        <f t="shared" si="81"/>
        <v>160326.21000000002</v>
      </c>
      <c r="AI53" s="5">
        <f t="shared" si="82"/>
        <v>110569.8</v>
      </c>
      <c r="AJ53" s="1">
        <f t="shared" si="83"/>
        <v>49756.410000000018</v>
      </c>
    </row>
    <row r="54" spans="1:37" s="31" customFormat="1" ht="14.25" x14ac:dyDescent="0.2">
      <c r="A54" s="78" t="s">
        <v>23</v>
      </c>
      <c r="B54" s="6">
        <f>SUM(B43:B53)</f>
        <v>19</v>
      </c>
      <c r="C54" s="6"/>
      <c r="D54" s="6"/>
      <c r="E54" s="4"/>
      <c r="F54" s="4">
        <f>SUM(F43:F53)</f>
        <v>943164.5</v>
      </c>
      <c r="G54" s="4">
        <f t="shared" ref="G54:M54" si="90">SUM(G43:G53)</f>
        <v>0</v>
      </c>
      <c r="H54" s="4">
        <f t="shared" si="90"/>
        <v>0</v>
      </c>
      <c r="I54" s="4">
        <f t="shared" si="90"/>
        <v>113587.02</v>
      </c>
      <c r="J54" s="4">
        <f t="shared" si="90"/>
        <v>0</v>
      </c>
      <c r="K54" s="4">
        <f t="shared" si="90"/>
        <v>0</v>
      </c>
      <c r="L54" s="4">
        <f t="shared" si="90"/>
        <v>0</v>
      </c>
      <c r="M54" s="4">
        <f t="shared" si="90"/>
        <v>0</v>
      </c>
      <c r="N54" s="4">
        <f>SUM(N43:N53)</f>
        <v>91803.5</v>
      </c>
      <c r="O54" s="4">
        <f>SUM(O43:O53)</f>
        <v>1148555.02</v>
      </c>
      <c r="P54" s="4"/>
      <c r="Q54" s="4"/>
      <c r="R54" s="3">
        <f>SUM(R43:R53)</f>
        <v>1367588.5250000001</v>
      </c>
      <c r="S54" s="3">
        <f t="shared" ref="S54:AJ54" si="91">SUM(S43:S53)</f>
        <v>0</v>
      </c>
      <c r="T54" s="3">
        <f t="shared" si="91"/>
        <v>0</v>
      </c>
      <c r="U54" s="3">
        <f t="shared" si="91"/>
        <v>155941.16399999996</v>
      </c>
      <c r="V54" s="3">
        <f t="shared" si="91"/>
        <v>0</v>
      </c>
      <c r="W54" s="3">
        <f t="shared" si="91"/>
        <v>0</v>
      </c>
      <c r="X54" s="3">
        <f t="shared" si="91"/>
        <v>0</v>
      </c>
      <c r="Y54" s="3">
        <f t="shared" si="91"/>
        <v>0</v>
      </c>
      <c r="Z54" s="3">
        <f t="shared" si="91"/>
        <v>0</v>
      </c>
      <c r="AA54" s="3">
        <f t="shared" si="91"/>
        <v>0</v>
      </c>
      <c r="AB54" s="3">
        <f t="shared" si="91"/>
        <v>0</v>
      </c>
      <c r="AC54" s="3">
        <f t="shared" si="91"/>
        <v>0</v>
      </c>
      <c r="AD54" s="3">
        <f t="shared" si="91"/>
        <v>0</v>
      </c>
      <c r="AE54" s="3">
        <f t="shared" si="91"/>
        <v>0</v>
      </c>
      <c r="AF54" s="3">
        <f t="shared" si="91"/>
        <v>0</v>
      </c>
      <c r="AG54" s="3">
        <f t="shared" si="91"/>
        <v>133115.07500000001</v>
      </c>
      <c r="AH54" s="3">
        <f t="shared" si="91"/>
        <v>1656644.7639999997</v>
      </c>
      <c r="AI54" s="3">
        <f t="shared" si="91"/>
        <v>1148555.02</v>
      </c>
      <c r="AJ54" s="3">
        <f t="shared" si="91"/>
        <v>508089.74400000001</v>
      </c>
      <c r="AK54" s="67">
        <f>AJ37+AJ42+AJ54-AJ52-AJ40-AJ36-AJ31</f>
        <v>718004.4908749999</v>
      </c>
    </row>
    <row r="55" spans="1:37" s="31" customFormat="1" ht="17.25" customHeight="1" x14ac:dyDescent="0.2">
      <c r="A55" s="2" t="s">
        <v>24</v>
      </c>
      <c r="B55" s="6">
        <f>SUM(B17+B29+B37+B42+B54)</f>
        <v>43.7</v>
      </c>
      <c r="C55" s="6"/>
      <c r="D55" s="6"/>
      <c r="E55" s="41"/>
      <c r="F55" s="59">
        <f t="shared" ref="F55:AF55" si="92">SUM(F17+F29+F37+F42+F54)</f>
        <v>2936096.8</v>
      </c>
      <c r="G55" s="59">
        <f t="shared" si="92"/>
        <v>313276.95</v>
      </c>
      <c r="H55" s="59">
        <f t="shared" si="92"/>
        <v>0</v>
      </c>
      <c r="I55" s="59">
        <f t="shared" si="92"/>
        <v>113587.02</v>
      </c>
      <c r="J55" s="59">
        <f t="shared" si="92"/>
        <v>0</v>
      </c>
      <c r="K55" s="59">
        <f t="shared" si="92"/>
        <v>3716.3699999999994</v>
      </c>
      <c r="L55" s="59">
        <f t="shared" si="92"/>
        <v>88485</v>
      </c>
      <c r="M55" s="59">
        <f t="shared" si="92"/>
        <v>0</v>
      </c>
      <c r="N55" s="59">
        <f t="shared" si="92"/>
        <v>316664.07499999995</v>
      </c>
      <c r="O55" s="59">
        <f t="shared" si="92"/>
        <v>3771826.2150000003</v>
      </c>
      <c r="P55" s="59"/>
      <c r="Q55" s="59"/>
      <c r="R55" s="59">
        <f t="shared" si="92"/>
        <v>4918440.6950000003</v>
      </c>
      <c r="S55" s="59">
        <f t="shared" si="92"/>
        <v>619526.66125</v>
      </c>
      <c r="T55" s="59">
        <f t="shared" si="92"/>
        <v>0</v>
      </c>
      <c r="U55" s="59">
        <f t="shared" si="92"/>
        <v>155941.16399999996</v>
      </c>
      <c r="V55" s="59">
        <f t="shared" si="92"/>
        <v>0</v>
      </c>
      <c r="W55" s="59">
        <f t="shared" si="92"/>
        <v>3716</v>
      </c>
      <c r="X55" s="59">
        <f t="shared" si="92"/>
        <v>88485</v>
      </c>
      <c r="Y55" s="59">
        <f t="shared" si="92"/>
        <v>0</v>
      </c>
      <c r="Z55" s="59">
        <f t="shared" si="92"/>
        <v>292000</v>
      </c>
      <c r="AA55" s="59">
        <f t="shared" si="92"/>
        <v>84945.75</v>
      </c>
      <c r="AB55" s="59">
        <f t="shared" si="92"/>
        <v>0</v>
      </c>
      <c r="AC55" s="59">
        <f t="shared" si="92"/>
        <v>0</v>
      </c>
      <c r="AD55" s="59">
        <f t="shared" si="92"/>
        <v>73243.625</v>
      </c>
      <c r="AE55" s="59">
        <f t="shared" si="92"/>
        <v>0</v>
      </c>
      <c r="AF55" s="59">
        <f t="shared" si="92"/>
        <v>0</v>
      </c>
      <c r="AG55" s="59">
        <f>SUM(AG17+AG29+AG37+AG42+AG54)</f>
        <v>541800.45062500006</v>
      </c>
      <c r="AH55" s="59">
        <f t="shared" ref="AH55:AJ55" si="93">SUM(AH17+AH29+AH37+AH42+AH54)</f>
        <v>6778099.3458749987</v>
      </c>
      <c r="AI55" s="59">
        <f t="shared" si="93"/>
        <v>3771826.2150000003</v>
      </c>
      <c r="AJ55" s="59">
        <f t="shared" si="93"/>
        <v>3006273.1308749998</v>
      </c>
    </row>
    <row r="56" spans="1:37" ht="20.25" x14ac:dyDescent="0.3">
      <c r="B56" s="8"/>
      <c r="R56" s="10"/>
      <c r="Z56" s="60"/>
      <c r="AG56" s="10"/>
      <c r="AH56" s="77"/>
      <c r="AI56" s="61"/>
      <c r="AJ56" s="10"/>
    </row>
    <row r="57" spans="1:37" ht="18.75" x14ac:dyDescent="0.3">
      <c r="B57" s="8"/>
      <c r="E57" s="62"/>
      <c r="F57" s="34"/>
      <c r="O57" s="11"/>
      <c r="AG57" s="12"/>
      <c r="AH57" s="12"/>
      <c r="AI57" s="12"/>
      <c r="AJ57" s="12"/>
    </row>
    <row r="58" spans="1:37" ht="24" customHeight="1" x14ac:dyDescent="0.2">
      <c r="F58" s="63"/>
      <c r="O58" s="10"/>
      <c r="W58" s="34"/>
      <c r="AG58" s="12"/>
      <c r="AH58" s="10"/>
    </row>
    <row r="59" spans="1:37" x14ac:dyDescent="0.2">
      <c r="E59" s="62"/>
      <c r="F59" s="63"/>
      <c r="O59" s="12"/>
      <c r="AH59" s="10"/>
    </row>
    <row r="61" spans="1:37" ht="20.25" customHeight="1" x14ac:dyDescent="0.2">
      <c r="F61" s="63"/>
      <c r="N61" s="13"/>
      <c r="O61" s="14"/>
    </row>
    <row r="62" spans="1:37" ht="15.75" customHeight="1" x14ac:dyDescent="0.2">
      <c r="F62" s="63"/>
    </row>
    <row r="63" spans="1:37" x14ac:dyDescent="0.2">
      <c r="F63" s="63"/>
    </row>
    <row r="64" spans="1:37" x14ac:dyDescent="0.2">
      <c r="E64" s="62"/>
      <c r="F64" s="63"/>
    </row>
  </sheetData>
  <mergeCells count="45">
    <mergeCell ref="AF8:AF10"/>
    <mergeCell ref="AG8:AG10"/>
    <mergeCell ref="Y9:Y10"/>
    <mergeCell ref="Z9:Z10"/>
    <mergeCell ref="AA9:AA10"/>
    <mergeCell ref="AB9:AB10"/>
    <mergeCell ref="AC9:AC10"/>
    <mergeCell ref="AD9:AD10"/>
    <mergeCell ref="AE9:AE10"/>
    <mergeCell ref="N8:N10"/>
    <mergeCell ref="T8:T10"/>
    <mergeCell ref="U8:U10"/>
    <mergeCell ref="V8:V10"/>
    <mergeCell ref="W8:W10"/>
    <mergeCell ref="X8:X10"/>
    <mergeCell ref="AF7:AG7"/>
    <mergeCell ref="AH7:AH10"/>
    <mergeCell ref="AI7:AI10"/>
    <mergeCell ref="AJ7:AJ10"/>
    <mergeCell ref="H8:H10"/>
    <mergeCell ref="I8:I10"/>
    <mergeCell ref="J8:J10"/>
    <mergeCell ref="K8:K10"/>
    <mergeCell ref="L8:L10"/>
    <mergeCell ref="M8:M10"/>
    <mergeCell ref="O7:O10"/>
    <mergeCell ref="P7:P10"/>
    <mergeCell ref="Q7:Q10"/>
    <mergeCell ref="R7:R10"/>
    <mergeCell ref="S7:S10"/>
    <mergeCell ref="T7:AE7"/>
    <mergeCell ref="Y8:AE8"/>
    <mergeCell ref="F5:M5"/>
    <mergeCell ref="A7:A10"/>
    <mergeCell ref="B7:B10"/>
    <mergeCell ref="C7:C10"/>
    <mergeCell ref="D7:D10"/>
    <mergeCell ref="E7:E10"/>
    <mergeCell ref="F7:F10"/>
    <mergeCell ref="G7:G10"/>
    <mergeCell ref="H7:J7"/>
    <mergeCell ref="M7:N7"/>
    <mergeCell ref="F4:M4"/>
    <mergeCell ref="G2:M2"/>
    <mergeCell ref="F3:M3"/>
  </mergeCells>
  <pageMargins left="0.39370078740157483" right="0.39370078740157483" top="0.59055118110236227" bottom="0.39370078740157483" header="0.31496062992125984" footer="0.31496062992125984"/>
  <pageSetup paperSize="9" scale="66" fitToWidth="0" orientation="landscape" horizontalDpi="300" verticalDpi="300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zoomScale="112" zoomScaleNormal="112" zoomScaleSheetLayoutView="160" workbookViewId="0">
      <selection activeCell="B23" sqref="B23"/>
    </sheetView>
  </sheetViews>
  <sheetFormatPr defaultRowHeight="12.75" x14ac:dyDescent="0.2"/>
  <cols>
    <col min="1" max="1" width="30.42578125" style="9" customWidth="1"/>
    <col min="2" max="2" width="11" style="9" customWidth="1"/>
    <col min="3" max="3" width="12.28515625" style="9" customWidth="1"/>
    <col min="4" max="4" width="9" style="9" customWidth="1"/>
    <col min="5" max="5" width="10.7109375" style="9" customWidth="1"/>
    <col min="6" max="6" width="12" style="9" customWidth="1"/>
    <col min="7" max="7" width="10.5703125" style="9" customWidth="1"/>
    <col min="8" max="8" width="9.42578125" style="9" customWidth="1"/>
    <col min="9" max="9" width="12.140625" style="9" customWidth="1"/>
    <col min="10" max="10" width="11.140625" style="9" hidden="1" customWidth="1"/>
    <col min="11" max="11" width="11.140625" style="9" customWidth="1"/>
    <col min="12" max="12" width="10.28515625" style="9" customWidth="1"/>
    <col min="13" max="13" width="11.28515625" style="9" customWidth="1"/>
    <col min="14" max="14" width="13" style="9" customWidth="1"/>
    <col min="15" max="15" width="8.42578125" style="9" customWidth="1"/>
    <col min="16" max="16" width="11.5703125" style="9" customWidth="1"/>
    <col min="17" max="17" width="11.7109375" style="9" customWidth="1"/>
    <col min="18" max="18" width="11.140625" style="9" customWidth="1"/>
    <col min="19" max="19" width="10.140625" style="9" customWidth="1"/>
    <col min="20" max="20" width="10" style="9" customWidth="1"/>
    <col min="21" max="21" width="6.85546875" style="9" customWidth="1"/>
    <col min="22" max="22" width="9.85546875" style="9" customWidth="1"/>
    <col min="23" max="24" width="5.5703125" style="9" customWidth="1"/>
    <col min="25" max="25" width="6.7109375" style="9" customWidth="1"/>
    <col min="26" max="26" width="6.5703125" style="9" customWidth="1"/>
    <col min="27" max="27" width="7.7109375" style="9" customWidth="1"/>
    <col min="28" max="28" width="8.42578125" style="9" customWidth="1"/>
    <col min="29" max="29" width="9.28515625" style="9" customWidth="1"/>
    <col min="30" max="30" width="7.28515625" style="9" hidden="1" customWidth="1"/>
    <col min="31" max="31" width="10.42578125" style="9" customWidth="1"/>
    <col min="32" max="32" width="12.85546875" style="9" customWidth="1"/>
    <col min="33" max="33" width="12.28515625" style="9" customWidth="1"/>
    <col min="34" max="34" width="11" style="9" customWidth="1"/>
    <col min="35" max="258" width="9.140625" style="9"/>
    <col min="259" max="259" width="31.42578125" style="9" customWidth="1"/>
    <col min="260" max="261" width="7.85546875" style="9" customWidth="1"/>
    <col min="262" max="262" width="8.5703125" style="9" customWidth="1"/>
    <col min="263" max="263" width="9.5703125" style="9" customWidth="1"/>
    <col min="264" max="264" width="12" style="9" customWidth="1"/>
    <col min="265" max="265" width="10.140625" style="9" customWidth="1"/>
    <col min="266" max="266" width="10.7109375" style="9" customWidth="1"/>
    <col min="267" max="267" width="20.28515625" style="9" customWidth="1"/>
    <col min="268" max="268" width="12.140625" style="9" customWidth="1"/>
    <col min="269" max="269" width="9.140625" style="9" customWidth="1"/>
    <col min="270" max="270" width="9.5703125" style="9" customWidth="1"/>
    <col min="271" max="514" width="9.140625" style="9"/>
    <col min="515" max="515" width="31.42578125" style="9" customWidth="1"/>
    <col min="516" max="517" width="7.85546875" style="9" customWidth="1"/>
    <col min="518" max="518" width="8.5703125" style="9" customWidth="1"/>
    <col min="519" max="519" width="9.5703125" style="9" customWidth="1"/>
    <col min="520" max="520" width="12" style="9" customWidth="1"/>
    <col min="521" max="521" width="10.140625" style="9" customWidth="1"/>
    <col min="522" max="522" width="10.7109375" style="9" customWidth="1"/>
    <col min="523" max="523" width="20.28515625" style="9" customWidth="1"/>
    <col min="524" max="524" width="12.140625" style="9" customWidth="1"/>
    <col min="525" max="525" width="9.140625" style="9" customWidth="1"/>
    <col min="526" max="526" width="9.5703125" style="9" customWidth="1"/>
    <col min="527" max="770" width="9.140625" style="9"/>
    <col min="771" max="771" width="31.42578125" style="9" customWidth="1"/>
    <col min="772" max="773" width="7.85546875" style="9" customWidth="1"/>
    <col min="774" max="774" width="8.5703125" style="9" customWidth="1"/>
    <col min="775" max="775" width="9.5703125" style="9" customWidth="1"/>
    <col min="776" max="776" width="12" style="9" customWidth="1"/>
    <col min="777" max="777" width="10.140625" style="9" customWidth="1"/>
    <col min="778" max="778" width="10.7109375" style="9" customWidth="1"/>
    <col min="779" max="779" width="20.28515625" style="9" customWidth="1"/>
    <col min="780" max="780" width="12.140625" style="9" customWidth="1"/>
    <col min="781" max="781" width="9.140625" style="9" customWidth="1"/>
    <col min="782" max="782" width="9.5703125" style="9" customWidth="1"/>
    <col min="783" max="1026" width="9.140625" style="9"/>
    <col min="1027" max="1027" width="31.42578125" style="9" customWidth="1"/>
    <col min="1028" max="1029" width="7.85546875" style="9" customWidth="1"/>
    <col min="1030" max="1030" width="8.5703125" style="9" customWidth="1"/>
    <col min="1031" max="1031" width="9.5703125" style="9" customWidth="1"/>
    <col min="1032" max="1032" width="12" style="9" customWidth="1"/>
    <col min="1033" max="1033" width="10.140625" style="9" customWidth="1"/>
    <col min="1034" max="1034" width="10.7109375" style="9" customWidth="1"/>
    <col min="1035" max="1035" width="20.28515625" style="9" customWidth="1"/>
    <col min="1036" max="1036" width="12.140625" style="9" customWidth="1"/>
    <col min="1037" max="1037" width="9.140625" style="9" customWidth="1"/>
    <col min="1038" max="1038" width="9.5703125" style="9" customWidth="1"/>
    <col min="1039" max="1282" width="9.140625" style="9"/>
    <col min="1283" max="1283" width="31.42578125" style="9" customWidth="1"/>
    <col min="1284" max="1285" width="7.85546875" style="9" customWidth="1"/>
    <col min="1286" max="1286" width="8.5703125" style="9" customWidth="1"/>
    <col min="1287" max="1287" width="9.5703125" style="9" customWidth="1"/>
    <col min="1288" max="1288" width="12" style="9" customWidth="1"/>
    <col min="1289" max="1289" width="10.140625" style="9" customWidth="1"/>
    <col min="1290" max="1290" width="10.7109375" style="9" customWidth="1"/>
    <col min="1291" max="1291" width="20.28515625" style="9" customWidth="1"/>
    <col min="1292" max="1292" width="12.140625" style="9" customWidth="1"/>
    <col min="1293" max="1293" width="9.140625" style="9" customWidth="1"/>
    <col min="1294" max="1294" width="9.5703125" style="9" customWidth="1"/>
    <col min="1295" max="1538" width="9.140625" style="9"/>
    <col min="1539" max="1539" width="31.42578125" style="9" customWidth="1"/>
    <col min="1540" max="1541" width="7.85546875" style="9" customWidth="1"/>
    <col min="1542" max="1542" width="8.5703125" style="9" customWidth="1"/>
    <col min="1543" max="1543" width="9.5703125" style="9" customWidth="1"/>
    <col min="1544" max="1544" width="12" style="9" customWidth="1"/>
    <col min="1545" max="1545" width="10.140625" style="9" customWidth="1"/>
    <col min="1546" max="1546" width="10.7109375" style="9" customWidth="1"/>
    <col min="1547" max="1547" width="20.28515625" style="9" customWidth="1"/>
    <col min="1548" max="1548" width="12.140625" style="9" customWidth="1"/>
    <col min="1549" max="1549" width="9.140625" style="9" customWidth="1"/>
    <col min="1550" max="1550" width="9.5703125" style="9" customWidth="1"/>
    <col min="1551" max="1794" width="9.140625" style="9"/>
    <col min="1795" max="1795" width="31.42578125" style="9" customWidth="1"/>
    <col min="1796" max="1797" width="7.85546875" style="9" customWidth="1"/>
    <col min="1798" max="1798" width="8.5703125" style="9" customWidth="1"/>
    <col min="1799" max="1799" width="9.5703125" style="9" customWidth="1"/>
    <col min="1800" max="1800" width="12" style="9" customWidth="1"/>
    <col min="1801" max="1801" width="10.140625" style="9" customWidth="1"/>
    <col min="1802" max="1802" width="10.7109375" style="9" customWidth="1"/>
    <col min="1803" max="1803" width="20.28515625" style="9" customWidth="1"/>
    <col min="1804" max="1804" width="12.140625" style="9" customWidth="1"/>
    <col min="1805" max="1805" width="9.140625" style="9" customWidth="1"/>
    <col min="1806" max="1806" width="9.5703125" style="9" customWidth="1"/>
    <col min="1807" max="2050" width="9.140625" style="9"/>
    <col min="2051" max="2051" width="31.42578125" style="9" customWidth="1"/>
    <col min="2052" max="2053" width="7.85546875" style="9" customWidth="1"/>
    <col min="2054" max="2054" width="8.5703125" style="9" customWidth="1"/>
    <col min="2055" max="2055" width="9.5703125" style="9" customWidth="1"/>
    <col min="2056" max="2056" width="12" style="9" customWidth="1"/>
    <col min="2057" max="2057" width="10.140625" style="9" customWidth="1"/>
    <col min="2058" max="2058" width="10.7109375" style="9" customWidth="1"/>
    <col min="2059" max="2059" width="20.28515625" style="9" customWidth="1"/>
    <col min="2060" max="2060" width="12.140625" style="9" customWidth="1"/>
    <col min="2061" max="2061" width="9.140625" style="9" customWidth="1"/>
    <col min="2062" max="2062" width="9.5703125" style="9" customWidth="1"/>
    <col min="2063" max="2306" width="9.140625" style="9"/>
    <col min="2307" max="2307" width="31.42578125" style="9" customWidth="1"/>
    <col min="2308" max="2309" width="7.85546875" style="9" customWidth="1"/>
    <col min="2310" max="2310" width="8.5703125" style="9" customWidth="1"/>
    <col min="2311" max="2311" width="9.5703125" style="9" customWidth="1"/>
    <col min="2312" max="2312" width="12" style="9" customWidth="1"/>
    <col min="2313" max="2313" width="10.140625" style="9" customWidth="1"/>
    <col min="2314" max="2314" width="10.7109375" style="9" customWidth="1"/>
    <col min="2315" max="2315" width="20.28515625" style="9" customWidth="1"/>
    <col min="2316" max="2316" width="12.140625" style="9" customWidth="1"/>
    <col min="2317" max="2317" width="9.140625" style="9" customWidth="1"/>
    <col min="2318" max="2318" width="9.5703125" style="9" customWidth="1"/>
    <col min="2319" max="2562" width="9.140625" style="9"/>
    <col min="2563" max="2563" width="31.42578125" style="9" customWidth="1"/>
    <col min="2564" max="2565" width="7.85546875" style="9" customWidth="1"/>
    <col min="2566" max="2566" width="8.5703125" style="9" customWidth="1"/>
    <col min="2567" max="2567" width="9.5703125" style="9" customWidth="1"/>
    <col min="2568" max="2568" width="12" style="9" customWidth="1"/>
    <col min="2569" max="2569" width="10.140625" style="9" customWidth="1"/>
    <col min="2570" max="2570" width="10.7109375" style="9" customWidth="1"/>
    <col min="2571" max="2571" width="20.28515625" style="9" customWidth="1"/>
    <col min="2572" max="2572" width="12.140625" style="9" customWidth="1"/>
    <col min="2573" max="2573" width="9.140625" style="9" customWidth="1"/>
    <col min="2574" max="2574" width="9.5703125" style="9" customWidth="1"/>
    <col min="2575" max="2818" width="9.140625" style="9"/>
    <col min="2819" max="2819" width="31.42578125" style="9" customWidth="1"/>
    <col min="2820" max="2821" width="7.85546875" style="9" customWidth="1"/>
    <col min="2822" max="2822" width="8.5703125" style="9" customWidth="1"/>
    <col min="2823" max="2823" width="9.5703125" style="9" customWidth="1"/>
    <col min="2824" max="2824" width="12" style="9" customWidth="1"/>
    <col min="2825" max="2825" width="10.140625" style="9" customWidth="1"/>
    <col min="2826" max="2826" width="10.7109375" style="9" customWidth="1"/>
    <col min="2827" max="2827" width="20.28515625" style="9" customWidth="1"/>
    <col min="2828" max="2828" width="12.140625" style="9" customWidth="1"/>
    <col min="2829" max="2829" width="9.140625" style="9" customWidth="1"/>
    <col min="2830" max="2830" width="9.5703125" style="9" customWidth="1"/>
    <col min="2831" max="3074" width="9.140625" style="9"/>
    <col min="3075" max="3075" width="31.42578125" style="9" customWidth="1"/>
    <col min="3076" max="3077" width="7.85546875" style="9" customWidth="1"/>
    <col min="3078" max="3078" width="8.5703125" style="9" customWidth="1"/>
    <col min="3079" max="3079" width="9.5703125" style="9" customWidth="1"/>
    <col min="3080" max="3080" width="12" style="9" customWidth="1"/>
    <col min="3081" max="3081" width="10.140625" style="9" customWidth="1"/>
    <col min="3082" max="3082" width="10.7109375" style="9" customWidth="1"/>
    <col min="3083" max="3083" width="20.28515625" style="9" customWidth="1"/>
    <col min="3084" max="3084" width="12.140625" style="9" customWidth="1"/>
    <col min="3085" max="3085" width="9.140625" style="9" customWidth="1"/>
    <col min="3086" max="3086" width="9.5703125" style="9" customWidth="1"/>
    <col min="3087" max="3330" width="9.140625" style="9"/>
    <col min="3331" max="3331" width="31.42578125" style="9" customWidth="1"/>
    <col min="3332" max="3333" width="7.85546875" style="9" customWidth="1"/>
    <col min="3334" max="3334" width="8.5703125" style="9" customWidth="1"/>
    <col min="3335" max="3335" width="9.5703125" style="9" customWidth="1"/>
    <col min="3336" max="3336" width="12" style="9" customWidth="1"/>
    <col min="3337" max="3337" width="10.140625" style="9" customWidth="1"/>
    <col min="3338" max="3338" width="10.7109375" style="9" customWidth="1"/>
    <col min="3339" max="3339" width="20.28515625" style="9" customWidth="1"/>
    <col min="3340" max="3340" width="12.140625" style="9" customWidth="1"/>
    <col min="3341" max="3341" width="9.140625" style="9" customWidth="1"/>
    <col min="3342" max="3342" width="9.5703125" style="9" customWidth="1"/>
    <col min="3343" max="3586" width="9.140625" style="9"/>
    <col min="3587" max="3587" width="31.42578125" style="9" customWidth="1"/>
    <col min="3588" max="3589" width="7.85546875" style="9" customWidth="1"/>
    <col min="3590" max="3590" width="8.5703125" style="9" customWidth="1"/>
    <col min="3591" max="3591" width="9.5703125" style="9" customWidth="1"/>
    <col min="3592" max="3592" width="12" style="9" customWidth="1"/>
    <col min="3593" max="3593" width="10.140625" style="9" customWidth="1"/>
    <col min="3594" max="3594" width="10.7109375" style="9" customWidth="1"/>
    <col min="3595" max="3595" width="20.28515625" style="9" customWidth="1"/>
    <col min="3596" max="3596" width="12.140625" style="9" customWidth="1"/>
    <col min="3597" max="3597" width="9.140625" style="9" customWidth="1"/>
    <col min="3598" max="3598" width="9.5703125" style="9" customWidth="1"/>
    <col min="3599" max="3842" width="9.140625" style="9"/>
    <col min="3843" max="3843" width="31.42578125" style="9" customWidth="1"/>
    <col min="3844" max="3845" width="7.85546875" style="9" customWidth="1"/>
    <col min="3846" max="3846" width="8.5703125" style="9" customWidth="1"/>
    <col min="3847" max="3847" width="9.5703125" style="9" customWidth="1"/>
    <col min="3848" max="3848" width="12" style="9" customWidth="1"/>
    <col min="3849" max="3849" width="10.140625" style="9" customWidth="1"/>
    <col min="3850" max="3850" width="10.7109375" style="9" customWidth="1"/>
    <col min="3851" max="3851" width="20.28515625" style="9" customWidth="1"/>
    <col min="3852" max="3852" width="12.140625" style="9" customWidth="1"/>
    <col min="3853" max="3853" width="9.140625" style="9" customWidth="1"/>
    <col min="3854" max="3854" width="9.5703125" style="9" customWidth="1"/>
    <col min="3855" max="4098" width="9.140625" style="9"/>
    <col min="4099" max="4099" width="31.42578125" style="9" customWidth="1"/>
    <col min="4100" max="4101" width="7.85546875" style="9" customWidth="1"/>
    <col min="4102" max="4102" width="8.5703125" style="9" customWidth="1"/>
    <col min="4103" max="4103" width="9.5703125" style="9" customWidth="1"/>
    <col min="4104" max="4104" width="12" style="9" customWidth="1"/>
    <col min="4105" max="4105" width="10.140625" style="9" customWidth="1"/>
    <col min="4106" max="4106" width="10.7109375" style="9" customWidth="1"/>
    <col min="4107" max="4107" width="20.28515625" style="9" customWidth="1"/>
    <col min="4108" max="4108" width="12.140625" style="9" customWidth="1"/>
    <col min="4109" max="4109" width="9.140625" style="9" customWidth="1"/>
    <col min="4110" max="4110" width="9.5703125" style="9" customWidth="1"/>
    <col min="4111" max="4354" width="9.140625" style="9"/>
    <col min="4355" max="4355" width="31.42578125" style="9" customWidth="1"/>
    <col min="4356" max="4357" width="7.85546875" style="9" customWidth="1"/>
    <col min="4358" max="4358" width="8.5703125" style="9" customWidth="1"/>
    <col min="4359" max="4359" width="9.5703125" style="9" customWidth="1"/>
    <col min="4360" max="4360" width="12" style="9" customWidth="1"/>
    <col min="4361" max="4361" width="10.140625" style="9" customWidth="1"/>
    <col min="4362" max="4362" width="10.7109375" style="9" customWidth="1"/>
    <col min="4363" max="4363" width="20.28515625" style="9" customWidth="1"/>
    <col min="4364" max="4364" width="12.140625" style="9" customWidth="1"/>
    <col min="4365" max="4365" width="9.140625" style="9" customWidth="1"/>
    <col min="4366" max="4366" width="9.5703125" style="9" customWidth="1"/>
    <col min="4367" max="4610" width="9.140625" style="9"/>
    <col min="4611" max="4611" width="31.42578125" style="9" customWidth="1"/>
    <col min="4612" max="4613" width="7.85546875" style="9" customWidth="1"/>
    <col min="4614" max="4614" width="8.5703125" style="9" customWidth="1"/>
    <col min="4615" max="4615" width="9.5703125" style="9" customWidth="1"/>
    <col min="4616" max="4616" width="12" style="9" customWidth="1"/>
    <col min="4617" max="4617" width="10.140625" style="9" customWidth="1"/>
    <col min="4618" max="4618" width="10.7109375" style="9" customWidth="1"/>
    <col min="4619" max="4619" width="20.28515625" style="9" customWidth="1"/>
    <col min="4620" max="4620" width="12.140625" style="9" customWidth="1"/>
    <col min="4621" max="4621" width="9.140625" style="9" customWidth="1"/>
    <col min="4622" max="4622" width="9.5703125" style="9" customWidth="1"/>
    <col min="4623" max="4866" width="9.140625" style="9"/>
    <col min="4867" max="4867" width="31.42578125" style="9" customWidth="1"/>
    <col min="4868" max="4869" width="7.85546875" style="9" customWidth="1"/>
    <col min="4870" max="4870" width="8.5703125" style="9" customWidth="1"/>
    <col min="4871" max="4871" width="9.5703125" style="9" customWidth="1"/>
    <col min="4872" max="4872" width="12" style="9" customWidth="1"/>
    <col min="4873" max="4873" width="10.140625" style="9" customWidth="1"/>
    <col min="4874" max="4874" width="10.7109375" style="9" customWidth="1"/>
    <col min="4875" max="4875" width="20.28515625" style="9" customWidth="1"/>
    <col min="4876" max="4876" width="12.140625" style="9" customWidth="1"/>
    <col min="4877" max="4877" width="9.140625" style="9" customWidth="1"/>
    <col min="4878" max="4878" width="9.5703125" style="9" customWidth="1"/>
    <col min="4879" max="5122" width="9.140625" style="9"/>
    <col min="5123" max="5123" width="31.42578125" style="9" customWidth="1"/>
    <col min="5124" max="5125" width="7.85546875" style="9" customWidth="1"/>
    <col min="5126" max="5126" width="8.5703125" style="9" customWidth="1"/>
    <col min="5127" max="5127" width="9.5703125" style="9" customWidth="1"/>
    <col min="5128" max="5128" width="12" style="9" customWidth="1"/>
    <col min="5129" max="5129" width="10.140625" style="9" customWidth="1"/>
    <col min="5130" max="5130" width="10.7109375" style="9" customWidth="1"/>
    <col min="5131" max="5131" width="20.28515625" style="9" customWidth="1"/>
    <col min="5132" max="5132" width="12.140625" style="9" customWidth="1"/>
    <col min="5133" max="5133" width="9.140625" style="9" customWidth="1"/>
    <col min="5134" max="5134" width="9.5703125" style="9" customWidth="1"/>
    <col min="5135" max="5378" width="9.140625" style="9"/>
    <col min="5379" max="5379" width="31.42578125" style="9" customWidth="1"/>
    <col min="5380" max="5381" width="7.85546875" style="9" customWidth="1"/>
    <col min="5382" max="5382" width="8.5703125" style="9" customWidth="1"/>
    <col min="5383" max="5383" width="9.5703125" style="9" customWidth="1"/>
    <col min="5384" max="5384" width="12" style="9" customWidth="1"/>
    <col min="5385" max="5385" width="10.140625" style="9" customWidth="1"/>
    <col min="5386" max="5386" width="10.7109375" style="9" customWidth="1"/>
    <col min="5387" max="5387" width="20.28515625" style="9" customWidth="1"/>
    <col min="5388" max="5388" width="12.140625" style="9" customWidth="1"/>
    <col min="5389" max="5389" width="9.140625" style="9" customWidth="1"/>
    <col min="5390" max="5390" width="9.5703125" style="9" customWidth="1"/>
    <col min="5391" max="5634" width="9.140625" style="9"/>
    <col min="5635" max="5635" width="31.42578125" style="9" customWidth="1"/>
    <col min="5636" max="5637" width="7.85546875" style="9" customWidth="1"/>
    <col min="5638" max="5638" width="8.5703125" style="9" customWidth="1"/>
    <col min="5639" max="5639" width="9.5703125" style="9" customWidth="1"/>
    <col min="5640" max="5640" width="12" style="9" customWidth="1"/>
    <col min="5641" max="5641" width="10.140625" style="9" customWidth="1"/>
    <col min="5642" max="5642" width="10.7109375" style="9" customWidth="1"/>
    <col min="5643" max="5643" width="20.28515625" style="9" customWidth="1"/>
    <col min="5644" max="5644" width="12.140625" style="9" customWidth="1"/>
    <col min="5645" max="5645" width="9.140625" style="9" customWidth="1"/>
    <col min="5646" max="5646" width="9.5703125" style="9" customWidth="1"/>
    <col min="5647" max="5890" width="9.140625" style="9"/>
    <col min="5891" max="5891" width="31.42578125" style="9" customWidth="1"/>
    <col min="5892" max="5893" width="7.85546875" style="9" customWidth="1"/>
    <col min="5894" max="5894" width="8.5703125" style="9" customWidth="1"/>
    <col min="5895" max="5895" width="9.5703125" style="9" customWidth="1"/>
    <col min="5896" max="5896" width="12" style="9" customWidth="1"/>
    <col min="5897" max="5897" width="10.140625" style="9" customWidth="1"/>
    <col min="5898" max="5898" width="10.7109375" style="9" customWidth="1"/>
    <col min="5899" max="5899" width="20.28515625" style="9" customWidth="1"/>
    <col min="5900" max="5900" width="12.140625" style="9" customWidth="1"/>
    <col min="5901" max="5901" width="9.140625" style="9" customWidth="1"/>
    <col min="5902" max="5902" width="9.5703125" style="9" customWidth="1"/>
    <col min="5903" max="6146" width="9.140625" style="9"/>
    <col min="6147" max="6147" width="31.42578125" style="9" customWidth="1"/>
    <col min="6148" max="6149" width="7.85546875" style="9" customWidth="1"/>
    <col min="6150" max="6150" width="8.5703125" style="9" customWidth="1"/>
    <col min="6151" max="6151" width="9.5703125" style="9" customWidth="1"/>
    <col min="6152" max="6152" width="12" style="9" customWidth="1"/>
    <col min="6153" max="6153" width="10.140625" style="9" customWidth="1"/>
    <col min="6154" max="6154" width="10.7109375" style="9" customWidth="1"/>
    <col min="6155" max="6155" width="20.28515625" style="9" customWidth="1"/>
    <col min="6156" max="6156" width="12.140625" style="9" customWidth="1"/>
    <col min="6157" max="6157" width="9.140625" style="9" customWidth="1"/>
    <col min="6158" max="6158" width="9.5703125" style="9" customWidth="1"/>
    <col min="6159" max="6402" width="9.140625" style="9"/>
    <col min="6403" max="6403" width="31.42578125" style="9" customWidth="1"/>
    <col min="6404" max="6405" width="7.85546875" style="9" customWidth="1"/>
    <col min="6406" max="6406" width="8.5703125" style="9" customWidth="1"/>
    <col min="6407" max="6407" width="9.5703125" style="9" customWidth="1"/>
    <col min="6408" max="6408" width="12" style="9" customWidth="1"/>
    <col min="6409" max="6409" width="10.140625" style="9" customWidth="1"/>
    <col min="6410" max="6410" width="10.7109375" style="9" customWidth="1"/>
    <col min="6411" max="6411" width="20.28515625" style="9" customWidth="1"/>
    <col min="6412" max="6412" width="12.140625" style="9" customWidth="1"/>
    <col min="6413" max="6413" width="9.140625" style="9" customWidth="1"/>
    <col min="6414" max="6414" width="9.5703125" style="9" customWidth="1"/>
    <col min="6415" max="6658" width="9.140625" style="9"/>
    <col min="6659" max="6659" width="31.42578125" style="9" customWidth="1"/>
    <col min="6660" max="6661" width="7.85546875" style="9" customWidth="1"/>
    <col min="6662" max="6662" width="8.5703125" style="9" customWidth="1"/>
    <col min="6663" max="6663" width="9.5703125" style="9" customWidth="1"/>
    <col min="6664" max="6664" width="12" style="9" customWidth="1"/>
    <col min="6665" max="6665" width="10.140625" style="9" customWidth="1"/>
    <col min="6666" max="6666" width="10.7109375" style="9" customWidth="1"/>
    <col min="6667" max="6667" width="20.28515625" style="9" customWidth="1"/>
    <col min="6668" max="6668" width="12.140625" style="9" customWidth="1"/>
    <col min="6669" max="6669" width="9.140625" style="9" customWidth="1"/>
    <col min="6670" max="6670" width="9.5703125" style="9" customWidth="1"/>
    <col min="6671" max="6914" width="9.140625" style="9"/>
    <col min="6915" max="6915" width="31.42578125" style="9" customWidth="1"/>
    <col min="6916" max="6917" width="7.85546875" style="9" customWidth="1"/>
    <col min="6918" max="6918" width="8.5703125" style="9" customWidth="1"/>
    <col min="6919" max="6919" width="9.5703125" style="9" customWidth="1"/>
    <col min="6920" max="6920" width="12" style="9" customWidth="1"/>
    <col min="6921" max="6921" width="10.140625" style="9" customWidth="1"/>
    <col min="6922" max="6922" width="10.7109375" style="9" customWidth="1"/>
    <col min="6923" max="6923" width="20.28515625" style="9" customWidth="1"/>
    <col min="6924" max="6924" width="12.140625" style="9" customWidth="1"/>
    <col min="6925" max="6925" width="9.140625" style="9" customWidth="1"/>
    <col min="6926" max="6926" width="9.5703125" style="9" customWidth="1"/>
    <col min="6927" max="7170" width="9.140625" style="9"/>
    <col min="7171" max="7171" width="31.42578125" style="9" customWidth="1"/>
    <col min="7172" max="7173" width="7.85546875" style="9" customWidth="1"/>
    <col min="7174" max="7174" width="8.5703125" style="9" customWidth="1"/>
    <col min="7175" max="7175" width="9.5703125" style="9" customWidth="1"/>
    <col min="7176" max="7176" width="12" style="9" customWidth="1"/>
    <col min="7177" max="7177" width="10.140625" style="9" customWidth="1"/>
    <col min="7178" max="7178" width="10.7109375" style="9" customWidth="1"/>
    <col min="7179" max="7179" width="20.28515625" style="9" customWidth="1"/>
    <col min="7180" max="7180" width="12.140625" style="9" customWidth="1"/>
    <col min="7181" max="7181" width="9.140625" style="9" customWidth="1"/>
    <col min="7182" max="7182" width="9.5703125" style="9" customWidth="1"/>
    <col min="7183" max="7426" width="9.140625" style="9"/>
    <col min="7427" max="7427" width="31.42578125" style="9" customWidth="1"/>
    <col min="7428" max="7429" width="7.85546875" style="9" customWidth="1"/>
    <col min="7430" max="7430" width="8.5703125" style="9" customWidth="1"/>
    <col min="7431" max="7431" width="9.5703125" style="9" customWidth="1"/>
    <col min="7432" max="7432" width="12" style="9" customWidth="1"/>
    <col min="7433" max="7433" width="10.140625" style="9" customWidth="1"/>
    <col min="7434" max="7434" width="10.7109375" style="9" customWidth="1"/>
    <col min="7435" max="7435" width="20.28515625" style="9" customWidth="1"/>
    <col min="7436" max="7436" width="12.140625" style="9" customWidth="1"/>
    <col min="7437" max="7437" width="9.140625" style="9" customWidth="1"/>
    <col min="7438" max="7438" width="9.5703125" style="9" customWidth="1"/>
    <col min="7439" max="7682" width="9.140625" style="9"/>
    <col min="7683" max="7683" width="31.42578125" style="9" customWidth="1"/>
    <col min="7684" max="7685" width="7.85546875" style="9" customWidth="1"/>
    <col min="7686" max="7686" width="8.5703125" style="9" customWidth="1"/>
    <col min="7687" max="7687" width="9.5703125" style="9" customWidth="1"/>
    <col min="7688" max="7688" width="12" style="9" customWidth="1"/>
    <col min="7689" max="7689" width="10.140625" style="9" customWidth="1"/>
    <col min="7690" max="7690" width="10.7109375" style="9" customWidth="1"/>
    <col min="7691" max="7691" width="20.28515625" style="9" customWidth="1"/>
    <col min="7692" max="7692" width="12.140625" style="9" customWidth="1"/>
    <col min="7693" max="7693" width="9.140625" style="9" customWidth="1"/>
    <col min="7694" max="7694" width="9.5703125" style="9" customWidth="1"/>
    <col min="7695" max="7938" width="9.140625" style="9"/>
    <col min="7939" max="7939" width="31.42578125" style="9" customWidth="1"/>
    <col min="7940" max="7941" width="7.85546875" style="9" customWidth="1"/>
    <col min="7942" max="7942" width="8.5703125" style="9" customWidth="1"/>
    <col min="7943" max="7943" width="9.5703125" style="9" customWidth="1"/>
    <col min="7944" max="7944" width="12" style="9" customWidth="1"/>
    <col min="7945" max="7945" width="10.140625" style="9" customWidth="1"/>
    <col min="7946" max="7946" width="10.7109375" style="9" customWidth="1"/>
    <col min="7947" max="7947" width="20.28515625" style="9" customWidth="1"/>
    <col min="7948" max="7948" width="12.140625" style="9" customWidth="1"/>
    <col min="7949" max="7949" width="9.140625" style="9" customWidth="1"/>
    <col min="7950" max="7950" width="9.5703125" style="9" customWidth="1"/>
    <col min="7951" max="8194" width="9.140625" style="9"/>
    <col min="8195" max="8195" width="31.42578125" style="9" customWidth="1"/>
    <col min="8196" max="8197" width="7.85546875" style="9" customWidth="1"/>
    <col min="8198" max="8198" width="8.5703125" style="9" customWidth="1"/>
    <col min="8199" max="8199" width="9.5703125" style="9" customWidth="1"/>
    <col min="8200" max="8200" width="12" style="9" customWidth="1"/>
    <col min="8201" max="8201" width="10.140625" style="9" customWidth="1"/>
    <col min="8202" max="8202" width="10.7109375" style="9" customWidth="1"/>
    <col min="8203" max="8203" width="20.28515625" style="9" customWidth="1"/>
    <col min="8204" max="8204" width="12.140625" style="9" customWidth="1"/>
    <col min="8205" max="8205" width="9.140625" style="9" customWidth="1"/>
    <col min="8206" max="8206" width="9.5703125" style="9" customWidth="1"/>
    <col min="8207" max="8450" width="9.140625" style="9"/>
    <col min="8451" max="8451" width="31.42578125" style="9" customWidth="1"/>
    <col min="8452" max="8453" width="7.85546875" style="9" customWidth="1"/>
    <col min="8454" max="8454" width="8.5703125" style="9" customWidth="1"/>
    <col min="8455" max="8455" width="9.5703125" style="9" customWidth="1"/>
    <col min="8456" max="8456" width="12" style="9" customWidth="1"/>
    <col min="8457" max="8457" width="10.140625" style="9" customWidth="1"/>
    <col min="8458" max="8458" width="10.7109375" style="9" customWidth="1"/>
    <col min="8459" max="8459" width="20.28515625" style="9" customWidth="1"/>
    <col min="8460" max="8460" width="12.140625" style="9" customWidth="1"/>
    <col min="8461" max="8461" width="9.140625" style="9" customWidth="1"/>
    <col min="8462" max="8462" width="9.5703125" style="9" customWidth="1"/>
    <col min="8463" max="8706" width="9.140625" style="9"/>
    <col min="8707" max="8707" width="31.42578125" style="9" customWidth="1"/>
    <col min="8708" max="8709" width="7.85546875" style="9" customWidth="1"/>
    <col min="8710" max="8710" width="8.5703125" style="9" customWidth="1"/>
    <col min="8711" max="8711" width="9.5703125" style="9" customWidth="1"/>
    <col min="8712" max="8712" width="12" style="9" customWidth="1"/>
    <col min="8713" max="8713" width="10.140625" style="9" customWidth="1"/>
    <col min="8714" max="8714" width="10.7109375" style="9" customWidth="1"/>
    <col min="8715" max="8715" width="20.28515625" style="9" customWidth="1"/>
    <col min="8716" max="8716" width="12.140625" style="9" customWidth="1"/>
    <col min="8717" max="8717" width="9.140625" style="9" customWidth="1"/>
    <col min="8718" max="8718" width="9.5703125" style="9" customWidth="1"/>
    <col min="8719" max="8962" width="9.140625" style="9"/>
    <col min="8963" max="8963" width="31.42578125" style="9" customWidth="1"/>
    <col min="8964" max="8965" width="7.85546875" style="9" customWidth="1"/>
    <col min="8966" max="8966" width="8.5703125" style="9" customWidth="1"/>
    <col min="8967" max="8967" width="9.5703125" style="9" customWidth="1"/>
    <col min="8968" max="8968" width="12" style="9" customWidth="1"/>
    <col min="8969" max="8969" width="10.140625" style="9" customWidth="1"/>
    <col min="8970" max="8970" width="10.7109375" style="9" customWidth="1"/>
    <col min="8971" max="8971" width="20.28515625" style="9" customWidth="1"/>
    <col min="8972" max="8972" width="12.140625" style="9" customWidth="1"/>
    <col min="8973" max="8973" width="9.140625" style="9" customWidth="1"/>
    <col min="8974" max="8974" width="9.5703125" style="9" customWidth="1"/>
    <col min="8975" max="9218" width="9.140625" style="9"/>
    <col min="9219" max="9219" width="31.42578125" style="9" customWidth="1"/>
    <col min="9220" max="9221" width="7.85546875" style="9" customWidth="1"/>
    <col min="9222" max="9222" width="8.5703125" style="9" customWidth="1"/>
    <col min="9223" max="9223" width="9.5703125" style="9" customWidth="1"/>
    <col min="9224" max="9224" width="12" style="9" customWidth="1"/>
    <col min="9225" max="9225" width="10.140625" style="9" customWidth="1"/>
    <col min="9226" max="9226" width="10.7109375" style="9" customWidth="1"/>
    <col min="9227" max="9227" width="20.28515625" style="9" customWidth="1"/>
    <col min="9228" max="9228" width="12.140625" style="9" customWidth="1"/>
    <col min="9229" max="9229" width="9.140625" style="9" customWidth="1"/>
    <col min="9230" max="9230" width="9.5703125" style="9" customWidth="1"/>
    <col min="9231" max="9474" width="9.140625" style="9"/>
    <col min="9475" max="9475" width="31.42578125" style="9" customWidth="1"/>
    <col min="9476" max="9477" width="7.85546875" style="9" customWidth="1"/>
    <col min="9478" max="9478" width="8.5703125" style="9" customWidth="1"/>
    <col min="9479" max="9479" width="9.5703125" style="9" customWidth="1"/>
    <col min="9480" max="9480" width="12" style="9" customWidth="1"/>
    <col min="9481" max="9481" width="10.140625" style="9" customWidth="1"/>
    <col min="9482" max="9482" width="10.7109375" style="9" customWidth="1"/>
    <col min="9483" max="9483" width="20.28515625" style="9" customWidth="1"/>
    <col min="9484" max="9484" width="12.140625" style="9" customWidth="1"/>
    <col min="9485" max="9485" width="9.140625" style="9" customWidth="1"/>
    <col min="9486" max="9486" width="9.5703125" style="9" customWidth="1"/>
    <col min="9487" max="9730" width="9.140625" style="9"/>
    <col min="9731" max="9731" width="31.42578125" style="9" customWidth="1"/>
    <col min="9732" max="9733" width="7.85546875" style="9" customWidth="1"/>
    <col min="9734" max="9734" width="8.5703125" style="9" customWidth="1"/>
    <col min="9735" max="9735" width="9.5703125" style="9" customWidth="1"/>
    <col min="9736" max="9736" width="12" style="9" customWidth="1"/>
    <col min="9737" max="9737" width="10.140625" style="9" customWidth="1"/>
    <col min="9738" max="9738" width="10.7109375" style="9" customWidth="1"/>
    <col min="9739" max="9739" width="20.28515625" style="9" customWidth="1"/>
    <col min="9740" max="9740" width="12.140625" style="9" customWidth="1"/>
    <col min="9741" max="9741" width="9.140625" style="9" customWidth="1"/>
    <col min="9742" max="9742" width="9.5703125" style="9" customWidth="1"/>
    <col min="9743" max="9986" width="9.140625" style="9"/>
    <col min="9987" max="9987" width="31.42578125" style="9" customWidth="1"/>
    <col min="9988" max="9989" width="7.85546875" style="9" customWidth="1"/>
    <col min="9990" max="9990" width="8.5703125" style="9" customWidth="1"/>
    <col min="9991" max="9991" width="9.5703125" style="9" customWidth="1"/>
    <col min="9992" max="9992" width="12" style="9" customWidth="1"/>
    <col min="9993" max="9993" width="10.140625" style="9" customWidth="1"/>
    <col min="9994" max="9994" width="10.7109375" style="9" customWidth="1"/>
    <col min="9995" max="9995" width="20.28515625" style="9" customWidth="1"/>
    <col min="9996" max="9996" width="12.140625" style="9" customWidth="1"/>
    <col min="9997" max="9997" width="9.140625" style="9" customWidth="1"/>
    <col min="9998" max="9998" width="9.5703125" style="9" customWidth="1"/>
    <col min="9999" max="10242" width="9.140625" style="9"/>
    <col min="10243" max="10243" width="31.42578125" style="9" customWidth="1"/>
    <col min="10244" max="10245" width="7.85546875" style="9" customWidth="1"/>
    <col min="10246" max="10246" width="8.5703125" style="9" customWidth="1"/>
    <col min="10247" max="10247" width="9.5703125" style="9" customWidth="1"/>
    <col min="10248" max="10248" width="12" style="9" customWidth="1"/>
    <col min="10249" max="10249" width="10.140625" style="9" customWidth="1"/>
    <col min="10250" max="10250" width="10.7109375" style="9" customWidth="1"/>
    <col min="10251" max="10251" width="20.28515625" style="9" customWidth="1"/>
    <col min="10252" max="10252" width="12.140625" style="9" customWidth="1"/>
    <col min="10253" max="10253" width="9.140625" style="9" customWidth="1"/>
    <col min="10254" max="10254" width="9.5703125" style="9" customWidth="1"/>
    <col min="10255" max="10498" width="9.140625" style="9"/>
    <col min="10499" max="10499" width="31.42578125" style="9" customWidth="1"/>
    <col min="10500" max="10501" width="7.85546875" style="9" customWidth="1"/>
    <col min="10502" max="10502" width="8.5703125" style="9" customWidth="1"/>
    <col min="10503" max="10503" width="9.5703125" style="9" customWidth="1"/>
    <col min="10504" max="10504" width="12" style="9" customWidth="1"/>
    <col min="10505" max="10505" width="10.140625" style="9" customWidth="1"/>
    <col min="10506" max="10506" width="10.7109375" style="9" customWidth="1"/>
    <col min="10507" max="10507" width="20.28515625" style="9" customWidth="1"/>
    <col min="10508" max="10508" width="12.140625" style="9" customWidth="1"/>
    <col min="10509" max="10509" width="9.140625" style="9" customWidth="1"/>
    <col min="10510" max="10510" width="9.5703125" style="9" customWidth="1"/>
    <col min="10511" max="10754" width="9.140625" style="9"/>
    <col min="10755" max="10755" width="31.42578125" style="9" customWidth="1"/>
    <col min="10756" max="10757" width="7.85546875" style="9" customWidth="1"/>
    <col min="10758" max="10758" width="8.5703125" style="9" customWidth="1"/>
    <col min="10759" max="10759" width="9.5703125" style="9" customWidth="1"/>
    <col min="10760" max="10760" width="12" style="9" customWidth="1"/>
    <col min="10761" max="10761" width="10.140625" style="9" customWidth="1"/>
    <col min="10762" max="10762" width="10.7109375" style="9" customWidth="1"/>
    <col min="10763" max="10763" width="20.28515625" style="9" customWidth="1"/>
    <col min="10764" max="10764" width="12.140625" style="9" customWidth="1"/>
    <col min="10765" max="10765" width="9.140625" style="9" customWidth="1"/>
    <col min="10766" max="10766" width="9.5703125" style="9" customWidth="1"/>
    <col min="10767" max="11010" width="9.140625" style="9"/>
    <col min="11011" max="11011" width="31.42578125" style="9" customWidth="1"/>
    <col min="11012" max="11013" width="7.85546875" style="9" customWidth="1"/>
    <col min="11014" max="11014" width="8.5703125" style="9" customWidth="1"/>
    <col min="11015" max="11015" width="9.5703125" style="9" customWidth="1"/>
    <col min="11016" max="11016" width="12" style="9" customWidth="1"/>
    <col min="11017" max="11017" width="10.140625" style="9" customWidth="1"/>
    <col min="11018" max="11018" width="10.7109375" style="9" customWidth="1"/>
    <col min="11019" max="11019" width="20.28515625" style="9" customWidth="1"/>
    <col min="11020" max="11020" width="12.140625" style="9" customWidth="1"/>
    <col min="11021" max="11021" width="9.140625" style="9" customWidth="1"/>
    <col min="11022" max="11022" width="9.5703125" style="9" customWidth="1"/>
    <col min="11023" max="11266" width="9.140625" style="9"/>
    <col min="11267" max="11267" width="31.42578125" style="9" customWidth="1"/>
    <col min="11268" max="11269" width="7.85546875" style="9" customWidth="1"/>
    <col min="11270" max="11270" width="8.5703125" style="9" customWidth="1"/>
    <col min="11271" max="11271" width="9.5703125" style="9" customWidth="1"/>
    <col min="11272" max="11272" width="12" style="9" customWidth="1"/>
    <col min="11273" max="11273" width="10.140625" style="9" customWidth="1"/>
    <col min="11274" max="11274" width="10.7109375" style="9" customWidth="1"/>
    <col min="11275" max="11275" width="20.28515625" style="9" customWidth="1"/>
    <col min="11276" max="11276" width="12.140625" style="9" customWidth="1"/>
    <col min="11277" max="11277" width="9.140625" style="9" customWidth="1"/>
    <col min="11278" max="11278" width="9.5703125" style="9" customWidth="1"/>
    <col min="11279" max="11522" width="9.140625" style="9"/>
    <col min="11523" max="11523" width="31.42578125" style="9" customWidth="1"/>
    <col min="11524" max="11525" width="7.85546875" style="9" customWidth="1"/>
    <col min="11526" max="11526" width="8.5703125" style="9" customWidth="1"/>
    <col min="11527" max="11527" width="9.5703125" style="9" customWidth="1"/>
    <col min="11528" max="11528" width="12" style="9" customWidth="1"/>
    <col min="11529" max="11529" width="10.140625" style="9" customWidth="1"/>
    <col min="11530" max="11530" width="10.7109375" style="9" customWidth="1"/>
    <col min="11531" max="11531" width="20.28515625" style="9" customWidth="1"/>
    <col min="11532" max="11532" width="12.140625" style="9" customWidth="1"/>
    <col min="11533" max="11533" width="9.140625" style="9" customWidth="1"/>
    <col min="11534" max="11534" width="9.5703125" style="9" customWidth="1"/>
    <col min="11535" max="11778" width="9.140625" style="9"/>
    <col min="11779" max="11779" width="31.42578125" style="9" customWidth="1"/>
    <col min="11780" max="11781" width="7.85546875" style="9" customWidth="1"/>
    <col min="11782" max="11782" width="8.5703125" style="9" customWidth="1"/>
    <col min="11783" max="11783" width="9.5703125" style="9" customWidth="1"/>
    <col min="11784" max="11784" width="12" style="9" customWidth="1"/>
    <col min="11785" max="11785" width="10.140625" style="9" customWidth="1"/>
    <col min="11786" max="11786" width="10.7109375" style="9" customWidth="1"/>
    <col min="11787" max="11787" width="20.28515625" style="9" customWidth="1"/>
    <col min="11788" max="11788" width="12.140625" style="9" customWidth="1"/>
    <col min="11789" max="11789" width="9.140625" style="9" customWidth="1"/>
    <col min="11790" max="11790" width="9.5703125" style="9" customWidth="1"/>
    <col min="11791" max="12034" width="9.140625" style="9"/>
    <col min="12035" max="12035" width="31.42578125" style="9" customWidth="1"/>
    <col min="12036" max="12037" width="7.85546875" style="9" customWidth="1"/>
    <col min="12038" max="12038" width="8.5703125" style="9" customWidth="1"/>
    <col min="12039" max="12039" width="9.5703125" style="9" customWidth="1"/>
    <col min="12040" max="12040" width="12" style="9" customWidth="1"/>
    <col min="12041" max="12041" width="10.140625" style="9" customWidth="1"/>
    <col min="12042" max="12042" width="10.7109375" style="9" customWidth="1"/>
    <col min="12043" max="12043" width="20.28515625" style="9" customWidth="1"/>
    <col min="12044" max="12044" width="12.140625" style="9" customWidth="1"/>
    <col min="12045" max="12045" width="9.140625" style="9" customWidth="1"/>
    <col min="12046" max="12046" width="9.5703125" style="9" customWidth="1"/>
    <col min="12047" max="12290" width="9.140625" style="9"/>
    <col min="12291" max="12291" width="31.42578125" style="9" customWidth="1"/>
    <col min="12292" max="12293" width="7.85546875" style="9" customWidth="1"/>
    <col min="12294" max="12294" width="8.5703125" style="9" customWidth="1"/>
    <col min="12295" max="12295" width="9.5703125" style="9" customWidth="1"/>
    <col min="12296" max="12296" width="12" style="9" customWidth="1"/>
    <col min="12297" max="12297" width="10.140625" style="9" customWidth="1"/>
    <col min="12298" max="12298" width="10.7109375" style="9" customWidth="1"/>
    <col min="12299" max="12299" width="20.28515625" style="9" customWidth="1"/>
    <col min="12300" max="12300" width="12.140625" style="9" customWidth="1"/>
    <col min="12301" max="12301" width="9.140625" style="9" customWidth="1"/>
    <col min="12302" max="12302" width="9.5703125" style="9" customWidth="1"/>
    <col min="12303" max="12546" width="9.140625" style="9"/>
    <col min="12547" max="12547" width="31.42578125" style="9" customWidth="1"/>
    <col min="12548" max="12549" width="7.85546875" style="9" customWidth="1"/>
    <col min="12550" max="12550" width="8.5703125" style="9" customWidth="1"/>
    <col min="12551" max="12551" width="9.5703125" style="9" customWidth="1"/>
    <col min="12552" max="12552" width="12" style="9" customWidth="1"/>
    <col min="12553" max="12553" width="10.140625" style="9" customWidth="1"/>
    <col min="12554" max="12554" width="10.7109375" style="9" customWidth="1"/>
    <col min="12555" max="12555" width="20.28515625" style="9" customWidth="1"/>
    <col min="12556" max="12556" width="12.140625" style="9" customWidth="1"/>
    <col min="12557" max="12557" width="9.140625" style="9" customWidth="1"/>
    <col min="12558" max="12558" width="9.5703125" style="9" customWidth="1"/>
    <col min="12559" max="12802" width="9.140625" style="9"/>
    <col min="12803" max="12803" width="31.42578125" style="9" customWidth="1"/>
    <col min="12804" max="12805" width="7.85546875" style="9" customWidth="1"/>
    <col min="12806" max="12806" width="8.5703125" style="9" customWidth="1"/>
    <col min="12807" max="12807" width="9.5703125" style="9" customWidth="1"/>
    <col min="12808" max="12808" width="12" style="9" customWidth="1"/>
    <col min="12809" max="12809" width="10.140625" style="9" customWidth="1"/>
    <col min="12810" max="12810" width="10.7109375" style="9" customWidth="1"/>
    <col min="12811" max="12811" width="20.28515625" style="9" customWidth="1"/>
    <col min="12812" max="12812" width="12.140625" style="9" customWidth="1"/>
    <col min="12813" max="12813" width="9.140625" style="9" customWidth="1"/>
    <col min="12814" max="12814" width="9.5703125" style="9" customWidth="1"/>
    <col min="12815" max="13058" width="9.140625" style="9"/>
    <col min="13059" max="13059" width="31.42578125" style="9" customWidth="1"/>
    <col min="13060" max="13061" width="7.85546875" style="9" customWidth="1"/>
    <col min="13062" max="13062" width="8.5703125" style="9" customWidth="1"/>
    <col min="13063" max="13063" width="9.5703125" style="9" customWidth="1"/>
    <col min="13064" max="13064" width="12" style="9" customWidth="1"/>
    <col min="13065" max="13065" width="10.140625" style="9" customWidth="1"/>
    <col min="13066" max="13066" width="10.7109375" style="9" customWidth="1"/>
    <col min="13067" max="13067" width="20.28515625" style="9" customWidth="1"/>
    <col min="13068" max="13068" width="12.140625" style="9" customWidth="1"/>
    <col min="13069" max="13069" width="9.140625" style="9" customWidth="1"/>
    <col min="13070" max="13070" width="9.5703125" style="9" customWidth="1"/>
    <col min="13071" max="13314" width="9.140625" style="9"/>
    <col min="13315" max="13315" width="31.42578125" style="9" customWidth="1"/>
    <col min="13316" max="13317" width="7.85546875" style="9" customWidth="1"/>
    <col min="13318" max="13318" width="8.5703125" style="9" customWidth="1"/>
    <col min="13319" max="13319" width="9.5703125" style="9" customWidth="1"/>
    <col min="13320" max="13320" width="12" style="9" customWidth="1"/>
    <col min="13321" max="13321" width="10.140625" style="9" customWidth="1"/>
    <col min="13322" max="13322" width="10.7109375" style="9" customWidth="1"/>
    <col min="13323" max="13323" width="20.28515625" style="9" customWidth="1"/>
    <col min="13324" max="13324" width="12.140625" style="9" customWidth="1"/>
    <col min="13325" max="13325" width="9.140625" style="9" customWidth="1"/>
    <col min="13326" max="13326" width="9.5703125" style="9" customWidth="1"/>
    <col min="13327" max="13570" width="9.140625" style="9"/>
    <col min="13571" max="13571" width="31.42578125" style="9" customWidth="1"/>
    <col min="13572" max="13573" width="7.85546875" style="9" customWidth="1"/>
    <col min="13574" max="13574" width="8.5703125" style="9" customWidth="1"/>
    <col min="13575" max="13575" width="9.5703125" style="9" customWidth="1"/>
    <col min="13576" max="13576" width="12" style="9" customWidth="1"/>
    <col min="13577" max="13577" width="10.140625" style="9" customWidth="1"/>
    <col min="13578" max="13578" width="10.7109375" style="9" customWidth="1"/>
    <col min="13579" max="13579" width="20.28515625" style="9" customWidth="1"/>
    <col min="13580" max="13580" width="12.140625" style="9" customWidth="1"/>
    <col min="13581" max="13581" width="9.140625" style="9" customWidth="1"/>
    <col min="13582" max="13582" width="9.5703125" style="9" customWidth="1"/>
    <col min="13583" max="13826" width="9.140625" style="9"/>
    <col min="13827" max="13827" width="31.42578125" style="9" customWidth="1"/>
    <col min="13828" max="13829" width="7.85546875" style="9" customWidth="1"/>
    <col min="13830" max="13830" width="8.5703125" style="9" customWidth="1"/>
    <col min="13831" max="13831" width="9.5703125" style="9" customWidth="1"/>
    <col min="13832" max="13832" width="12" style="9" customWidth="1"/>
    <col min="13833" max="13833" width="10.140625" style="9" customWidth="1"/>
    <col min="13834" max="13834" width="10.7109375" style="9" customWidth="1"/>
    <col min="13835" max="13835" width="20.28515625" style="9" customWidth="1"/>
    <col min="13836" max="13836" width="12.140625" style="9" customWidth="1"/>
    <col min="13837" max="13837" width="9.140625" style="9" customWidth="1"/>
    <col min="13838" max="13838" width="9.5703125" style="9" customWidth="1"/>
    <col min="13839" max="14082" width="9.140625" style="9"/>
    <col min="14083" max="14083" width="31.42578125" style="9" customWidth="1"/>
    <col min="14084" max="14085" width="7.85546875" style="9" customWidth="1"/>
    <col min="14086" max="14086" width="8.5703125" style="9" customWidth="1"/>
    <col min="14087" max="14087" width="9.5703125" style="9" customWidth="1"/>
    <col min="14088" max="14088" width="12" style="9" customWidth="1"/>
    <col min="14089" max="14089" width="10.140625" style="9" customWidth="1"/>
    <col min="14090" max="14090" width="10.7109375" style="9" customWidth="1"/>
    <col min="14091" max="14091" width="20.28515625" style="9" customWidth="1"/>
    <col min="14092" max="14092" width="12.140625" style="9" customWidth="1"/>
    <col min="14093" max="14093" width="9.140625" style="9" customWidth="1"/>
    <col min="14094" max="14094" width="9.5703125" style="9" customWidth="1"/>
    <col min="14095" max="14338" width="9.140625" style="9"/>
    <col min="14339" max="14339" width="31.42578125" style="9" customWidth="1"/>
    <col min="14340" max="14341" width="7.85546875" style="9" customWidth="1"/>
    <col min="14342" max="14342" width="8.5703125" style="9" customWidth="1"/>
    <col min="14343" max="14343" width="9.5703125" style="9" customWidth="1"/>
    <col min="14344" max="14344" width="12" style="9" customWidth="1"/>
    <col min="14345" max="14345" width="10.140625" style="9" customWidth="1"/>
    <col min="14346" max="14346" width="10.7109375" style="9" customWidth="1"/>
    <col min="14347" max="14347" width="20.28515625" style="9" customWidth="1"/>
    <col min="14348" max="14348" width="12.140625" style="9" customWidth="1"/>
    <col min="14349" max="14349" width="9.140625" style="9" customWidth="1"/>
    <col min="14350" max="14350" width="9.5703125" style="9" customWidth="1"/>
    <col min="14351" max="14594" width="9.140625" style="9"/>
    <col min="14595" max="14595" width="31.42578125" style="9" customWidth="1"/>
    <col min="14596" max="14597" width="7.85546875" style="9" customWidth="1"/>
    <col min="14598" max="14598" width="8.5703125" style="9" customWidth="1"/>
    <col min="14599" max="14599" width="9.5703125" style="9" customWidth="1"/>
    <col min="14600" max="14600" width="12" style="9" customWidth="1"/>
    <col min="14601" max="14601" width="10.140625" style="9" customWidth="1"/>
    <col min="14602" max="14602" width="10.7109375" style="9" customWidth="1"/>
    <col min="14603" max="14603" width="20.28515625" style="9" customWidth="1"/>
    <col min="14604" max="14604" width="12.140625" style="9" customWidth="1"/>
    <col min="14605" max="14605" width="9.140625" style="9" customWidth="1"/>
    <col min="14606" max="14606" width="9.5703125" style="9" customWidth="1"/>
    <col min="14607" max="14850" width="9.140625" style="9"/>
    <col min="14851" max="14851" width="31.42578125" style="9" customWidth="1"/>
    <col min="14852" max="14853" width="7.85546875" style="9" customWidth="1"/>
    <col min="14854" max="14854" width="8.5703125" style="9" customWidth="1"/>
    <col min="14855" max="14855" width="9.5703125" style="9" customWidth="1"/>
    <col min="14856" max="14856" width="12" style="9" customWidth="1"/>
    <col min="14857" max="14857" width="10.140625" style="9" customWidth="1"/>
    <col min="14858" max="14858" width="10.7109375" style="9" customWidth="1"/>
    <col min="14859" max="14859" width="20.28515625" style="9" customWidth="1"/>
    <col min="14860" max="14860" width="12.140625" style="9" customWidth="1"/>
    <col min="14861" max="14861" width="9.140625" style="9" customWidth="1"/>
    <col min="14862" max="14862" width="9.5703125" style="9" customWidth="1"/>
    <col min="14863" max="15106" width="9.140625" style="9"/>
    <col min="15107" max="15107" width="31.42578125" style="9" customWidth="1"/>
    <col min="15108" max="15109" width="7.85546875" style="9" customWidth="1"/>
    <col min="15110" max="15110" width="8.5703125" style="9" customWidth="1"/>
    <col min="15111" max="15111" width="9.5703125" style="9" customWidth="1"/>
    <col min="15112" max="15112" width="12" style="9" customWidth="1"/>
    <col min="15113" max="15113" width="10.140625" style="9" customWidth="1"/>
    <col min="15114" max="15114" width="10.7109375" style="9" customWidth="1"/>
    <col min="15115" max="15115" width="20.28515625" style="9" customWidth="1"/>
    <col min="15116" max="15116" width="12.140625" style="9" customWidth="1"/>
    <col min="15117" max="15117" width="9.140625" style="9" customWidth="1"/>
    <col min="15118" max="15118" width="9.5703125" style="9" customWidth="1"/>
    <col min="15119" max="15362" width="9.140625" style="9"/>
    <col min="15363" max="15363" width="31.42578125" style="9" customWidth="1"/>
    <col min="15364" max="15365" width="7.85546875" style="9" customWidth="1"/>
    <col min="15366" max="15366" width="8.5703125" style="9" customWidth="1"/>
    <col min="15367" max="15367" width="9.5703125" style="9" customWidth="1"/>
    <col min="15368" max="15368" width="12" style="9" customWidth="1"/>
    <col min="15369" max="15369" width="10.140625" style="9" customWidth="1"/>
    <col min="15370" max="15370" width="10.7109375" style="9" customWidth="1"/>
    <col min="15371" max="15371" width="20.28515625" style="9" customWidth="1"/>
    <col min="15372" max="15372" width="12.140625" style="9" customWidth="1"/>
    <col min="15373" max="15373" width="9.140625" style="9" customWidth="1"/>
    <col min="15374" max="15374" width="9.5703125" style="9" customWidth="1"/>
    <col min="15375" max="15618" width="9.140625" style="9"/>
    <col min="15619" max="15619" width="31.42578125" style="9" customWidth="1"/>
    <col min="15620" max="15621" width="7.85546875" style="9" customWidth="1"/>
    <col min="15622" max="15622" width="8.5703125" style="9" customWidth="1"/>
    <col min="15623" max="15623" width="9.5703125" style="9" customWidth="1"/>
    <col min="15624" max="15624" width="12" style="9" customWidth="1"/>
    <col min="15625" max="15625" width="10.140625" style="9" customWidth="1"/>
    <col min="15626" max="15626" width="10.7109375" style="9" customWidth="1"/>
    <col min="15627" max="15627" width="20.28515625" style="9" customWidth="1"/>
    <col min="15628" max="15628" width="12.140625" style="9" customWidth="1"/>
    <col min="15629" max="15629" width="9.140625" style="9" customWidth="1"/>
    <col min="15630" max="15630" width="9.5703125" style="9" customWidth="1"/>
    <col min="15631" max="15874" width="9.140625" style="9"/>
    <col min="15875" max="15875" width="31.42578125" style="9" customWidth="1"/>
    <col min="15876" max="15877" width="7.85546875" style="9" customWidth="1"/>
    <col min="15878" max="15878" width="8.5703125" style="9" customWidth="1"/>
    <col min="15879" max="15879" width="9.5703125" style="9" customWidth="1"/>
    <col min="15880" max="15880" width="12" style="9" customWidth="1"/>
    <col min="15881" max="15881" width="10.140625" style="9" customWidth="1"/>
    <col min="15882" max="15882" width="10.7109375" style="9" customWidth="1"/>
    <col min="15883" max="15883" width="20.28515625" style="9" customWidth="1"/>
    <col min="15884" max="15884" width="12.140625" style="9" customWidth="1"/>
    <col min="15885" max="15885" width="9.140625" style="9" customWidth="1"/>
    <col min="15886" max="15886" width="9.5703125" style="9" customWidth="1"/>
    <col min="15887" max="16130" width="9.140625" style="9"/>
    <col min="16131" max="16131" width="31.42578125" style="9" customWidth="1"/>
    <col min="16132" max="16133" width="7.85546875" style="9" customWidth="1"/>
    <col min="16134" max="16134" width="8.5703125" style="9" customWidth="1"/>
    <col min="16135" max="16135" width="9.5703125" style="9" customWidth="1"/>
    <col min="16136" max="16136" width="12" style="9" customWidth="1"/>
    <col min="16137" max="16137" width="10.140625" style="9" customWidth="1"/>
    <col min="16138" max="16138" width="10.7109375" style="9" customWidth="1"/>
    <col min="16139" max="16139" width="20.28515625" style="9" customWidth="1"/>
    <col min="16140" max="16140" width="12.140625" style="9" customWidth="1"/>
    <col min="16141" max="16141" width="9.140625" style="9" customWidth="1"/>
    <col min="16142" max="16142" width="9.5703125" style="9" customWidth="1"/>
    <col min="16143" max="16384" width="9.140625" style="9"/>
  </cols>
  <sheetData>
    <row r="1" spans="1:34" ht="15.75" x14ac:dyDescent="0.25">
      <c r="A1" s="22"/>
      <c r="B1" s="24"/>
      <c r="C1" s="23"/>
      <c r="O1" s="25"/>
      <c r="P1" s="24"/>
      <c r="Q1" s="23"/>
      <c r="AB1" s="19"/>
      <c r="AC1" s="19"/>
      <c r="AD1" s="19"/>
      <c r="AE1" s="19"/>
      <c r="AF1" s="19"/>
      <c r="AG1" s="25"/>
    </row>
    <row r="2" spans="1:34" ht="12" hidden="1" customHeight="1" x14ac:dyDescent="0.25">
      <c r="A2" s="22"/>
      <c r="B2" s="20"/>
      <c r="C2" s="20"/>
      <c r="D2" s="20"/>
      <c r="E2" s="20"/>
      <c r="F2" s="21"/>
      <c r="G2" s="105"/>
      <c r="H2" s="105"/>
      <c r="I2" s="105"/>
      <c r="J2" s="105"/>
      <c r="K2" s="105"/>
      <c r="L2" s="105"/>
    </row>
    <row r="3" spans="1:34" ht="17.25" hidden="1" customHeight="1" x14ac:dyDescent="0.25">
      <c r="A3" s="22"/>
      <c r="B3" s="25"/>
      <c r="C3" s="26"/>
      <c r="D3" s="26"/>
      <c r="F3" s="25"/>
      <c r="G3" s="105"/>
      <c r="H3" s="105"/>
      <c r="I3" s="105"/>
      <c r="J3" s="105"/>
      <c r="K3" s="105"/>
      <c r="L3" s="105"/>
    </row>
    <row r="4" spans="1:34" ht="19.5" customHeight="1" x14ac:dyDescent="0.25">
      <c r="A4" s="22"/>
      <c r="B4" s="23"/>
      <c r="C4" s="23"/>
      <c r="G4" s="105"/>
      <c r="H4" s="105"/>
      <c r="I4" s="105"/>
      <c r="J4" s="105"/>
      <c r="K4" s="105"/>
      <c r="L4" s="105"/>
    </row>
    <row r="5" spans="1:34" ht="15.75" x14ac:dyDescent="0.25">
      <c r="A5" s="22"/>
      <c r="B5" s="27"/>
      <c r="C5" s="27"/>
      <c r="D5" s="27"/>
      <c r="E5" s="27"/>
      <c r="F5" s="108" t="s">
        <v>0</v>
      </c>
      <c r="G5" s="108"/>
      <c r="H5" s="108"/>
      <c r="I5" s="108"/>
      <c r="J5" s="108"/>
      <c r="K5" s="108"/>
      <c r="L5" s="108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ht="15.75" customHeight="1" x14ac:dyDescent="0.2">
      <c r="A6" s="28"/>
      <c r="B6" s="28"/>
      <c r="C6" s="28"/>
      <c r="D6" s="28"/>
      <c r="E6" s="28"/>
      <c r="F6" s="107" t="s">
        <v>48</v>
      </c>
      <c r="G6" s="107"/>
      <c r="H6" s="107"/>
      <c r="I6" s="107"/>
      <c r="J6" s="107"/>
      <c r="K6" s="107"/>
      <c r="L6" s="107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15.75" x14ac:dyDescent="0.2">
      <c r="B7" s="29"/>
      <c r="C7" s="29"/>
      <c r="D7" s="29"/>
      <c r="E7" s="29"/>
      <c r="F7" s="101" t="s">
        <v>73</v>
      </c>
      <c r="G7" s="101"/>
      <c r="H7" s="101"/>
      <c r="I7" s="101"/>
      <c r="J7" s="101"/>
      <c r="K7" s="101"/>
      <c r="L7" s="101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18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34" s="31" customFormat="1" ht="12.75" customHeight="1" x14ac:dyDescent="0.2">
      <c r="A9" s="109" t="s">
        <v>1</v>
      </c>
      <c r="B9" s="112" t="s">
        <v>2</v>
      </c>
      <c r="C9" s="112" t="s">
        <v>3</v>
      </c>
      <c r="D9" s="112" t="s">
        <v>4</v>
      </c>
      <c r="E9" s="112" t="s">
        <v>5</v>
      </c>
      <c r="F9" s="109" t="s">
        <v>6</v>
      </c>
      <c r="G9" s="112" t="s">
        <v>7</v>
      </c>
      <c r="H9" s="118" t="s">
        <v>8</v>
      </c>
      <c r="I9" s="119"/>
      <c r="J9" s="120"/>
      <c r="K9" s="79"/>
      <c r="L9" s="121" t="s">
        <v>9</v>
      </c>
      <c r="M9" s="122"/>
      <c r="N9" s="112" t="s">
        <v>10</v>
      </c>
      <c r="O9" s="112" t="s">
        <v>4</v>
      </c>
      <c r="P9" s="83" t="s">
        <v>101</v>
      </c>
      <c r="Q9" s="112" t="s">
        <v>6</v>
      </c>
      <c r="R9" s="112" t="s">
        <v>7</v>
      </c>
      <c r="S9" s="118" t="s">
        <v>8</v>
      </c>
      <c r="T9" s="119"/>
      <c r="U9" s="119"/>
      <c r="V9" s="119"/>
      <c r="W9" s="119"/>
      <c r="X9" s="119"/>
      <c r="Y9" s="119"/>
      <c r="Z9" s="119"/>
      <c r="AA9" s="119"/>
      <c r="AB9" s="119"/>
      <c r="AC9" s="120"/>
      <c r="AD9" s="121" t="s">
        <v>9</v>
      </c>
      <c r="AE9" s="122"/>
      <c r="AF9" s="112" t="s">
        <v>29</v>
      </c>
      <c r="AG9" s="115" t="s">
        <v>104</v>
      </c>
      <c r="AH9" s="115" t="s">
        <v>105</v>
      </c>
    </row>
    <row r="10" spans="1:34" s="31" customFormat="1" ht="61.5" customHeight="1" x14ac:dyDescent="0.2">
      <c r="A10" s="110"/>
      <c r="B10" s="113"/>
      <c r="C10" s="113"/>
      <c r="D10" s="113"/>
      <c r="E10" s="113"/>
      <c r="F10" s="110"/>
      <c r="G10" s="113"/>
      <c r="H10" s="112" t="s">
        <v>103</v>
      </c>
      <c r="I10" s="115" t="s">
        <v>12</v>
      </c>
      <c r="J10" s="112" t="s">
        <v>13</v>
      </c>
      <c r="K10" s="112" t="s">
        <v>44</v>
      </c>
      <c r="L10" s="112" t="s">
        <v>14</v>
      </c>
      <c r="M10" s="112" t="s">
        <v>15</v>
      </c>
      <c r="N10" s="113"/>
      <c r="O10" s="113"/>
      <c r="P10" s="84"/>
      <c r="Q10" s="113"/>
      <c r="R10" s="113"/>
      <c r="S10" s="112" t="s">
        <v>103</v>
      </c>
      <c r="T10" s="115" t="s">
        <v>12</v>
      </c>
      <c r="U10" s="112" t="s">
        <v>13</v>
      </c>
      <c r="V10" s="112" t="s">
        <v>44</v>
      </c>
      <c r="W10" s="115" t="s">
        <v>17</v>
      </c>
      <c r="X10" s="115"/>
      <c r="Y10" s="115"/>
      <c r="Z10" s="115"/>
      <c r="AA10" s="115"/>
      <c r="AB10" s="115"/>
      <c r="AC10" s="115"/>
      <c r="AD10" s="115" t="s">
        <v>14</v>
      </c>
      <c r="AE10" s="112" t="s">
        <v>15</v>
      </c>
      <c r="AF10" s="113"/>
      <c r="AG10" s="115"/>
      <c r="AH10" s="115"/>
    </row>
    <row r="11" spans="1:34" s="31" customFormat="1" ht="36.75" customHeight="1" x14ac:dyDescent="0.2">
      <c r="A11" s="110"/>
      <c r="B11" s="113"/>
      <c r="C11" s="113"/>
      <c r="D11" s="113"/>
      <c r="E11" s="113"/>
      <c r="F11" s="110"/>
      <c r="G11" s="113"/>
      <c r="H11" s="113"/>
      <c r="I11" s="115"/>
      <c r="J11" s="113"/>
      <c r="K11" s="116"/>
      <c r="L11" s="113"/>
      <c r="M11" s="113"/>
      <c r="N11" s="113"/>
      <c r="O11" s="113"/>
      <c r="P11" s="84"/>
      <c r="Q11" s="113"/>
      <c r="R11" s="113"/>
      <c r="S11" s="113"/>
      <c r="T11" s="115"/>
      <c r="U11" s="113"/>
      <c r="V11" s="116"/>
      <c r="W11" s="115" t="s">
        <v>25</v>
      </c>
      <c r="X11" s="115"/>
      <c r="Y11" s="115"/>
      <c r="Z11" s="123" t="s">
        <v>79</v>
      </c>
      <c r="AA11" s="123" t="s">
        <v>80</v>
      </c>
      <c r="AB11" s="123" t="s">
        <v>81</v>
      </c>
      <c r="AC11" s="123" t="s">
        <v>82</v>
      </c>
      <c r="AD11" s="115"/>
      <c r="AE11" s="113"/>
      <c r="AF11" s="113"/>
      <c r="AG11" s="115"/>
      <c r="AH11" s="115"/>
    </row>
    <row r="12" spans="1:34" s="31" customFormat="1" ht="58.5" customHeight="1" x14ac:dyDescent="0.2">
      <c r="A12" s="111"/>
      <c r="B12" s="114"/>
      <c r="C12" s="114"/>
      <c r="D12" s="114"/>
      <c r="E12" s="114"/>
      <c r="F12" s="111"/>
      <c r="G12" s="114"/>
      <c r="H12" s="114"/>
      <c r="I12" s="115"/>
      <c r="J12" s="114"/>
      <c r="K12" s="117"/>
      <c r="L12" s="114"/>
      <c r="M12" s="114"/>
      <c r="N12" s="114"/>
      <c r="O12" s="114"/>
      <c r="P12" s="85"/>
      <c r="Q12" s="114"/>
      <c r="R12" s="114"/>
      <c r="S12" s="114"/>
      <c r="T12" s="115"/>
      <c r="U12" s="114"/>
      <c r="V12" s="117"/>
      <c r="W12" s="52" t="s">
        <v>26</v>
      </c>
      <c r="X12" s="52" t="s">
        <v>27</v>
      </c>
      <c r="Y12" s="52" t="s">
        <v>28</v>
      </c>
      <c r="Z12" s="124"/>
      <c r="AA12" s="124"/>
      <c r="AB12" s="124"/>
      <c r="AC12" s="124"/>
      <c r="AD12" s="115"/>
      <c r="AE12" s="114"/>
      <c r="AF12" s="114"/>
      <c r="AG12" s="115"/>
      <c r="AH12" s="115"/>
    </row>
    <row r="13" spans="1:34" s="31" customFormat="1" ht="19.5" customHeight="1" x14ac:dyDescent="0.2">
      <c r="A13" s="32">
        <v>1</v>
      </c>
      <c r="B13" s="73">
        <v>2</v>
      </c>
      <c r="C13" s="73">
        <v>3</v>
      </c>
      <c r="D13" s="32">
        <v>4</v>
      </c>
      <c r="E13" s="73">
        <v>5</v>
      </c>
      <c r="F13" s="73">
        <v>6</v>
      </c>
      <c r="G13" s="32">
        <v>7</v>
      </c>
      <c r="H13" s="73">
        <v>8</v>
      </c>
      <c r="I13" s="73">
        <v>9</v>
      </c>
      <c r="J13" s="32">
        <v>10</v>
      </c>
      <c r="K13" s="32">
        <v>10</v>
      </c>
      <c r="L13" s="73">
        <v>11</v>
      </c>
      <c r="M13" s="73">
        <v>12</v>
      </c>
      <c r="N13" s="32">
        <v>13</v>
      </c>
      <c r="O13" s="73">
        <v>14</v>
      </c>
      <c r="P13" s="73">
        <v>15</v>
      </c>
      <c r="Q13" s="32">
        <v>16</v>
      </c>
      <c r="R13" s="73">
        <v>17</v>
      </c>
      <c r="S13" s="73">
        <v>18</v>
      </c>
      <c r="T13" s="32">
        <v>19</v>
      </c>
      <c r="U13" s="73">
        <v>20</v>
      </c>
      <c r="V13" s="73">
        <v>21</v>
      </c>
      <c r="W13" s="73">
        <v>22</v>
      </c>
      <c r="X13" s="73">
        <v>23</v>
      </c>
      <c r="Y13" s="73">
        <v>24</v>
      </c>
      <c r="Z13" s="73">
        <v>25</v>
      </c>
      <c r="AA13" s="32">
        <v>26</v>
      </c>
      <c r="AB13" s="73">
        <v>27</v>
      </c>
      <c r="AC13" s="73">
        <v>28</v>
      </c>
      <c r="AD13" s="32">
        <v>24</v>
      </c>
      <c r="AE13" s="73">
        <v>29</v>
      </c>
      <c r="AF13" s="73">
        <v>30</v>
      </c>
      <c r="AG13" s="32">
        <v>31</v>
      </c>
      <c r="AH13" s="73">
        <v>32</v>
      </c>
    </row>
    <row r="14" spans="1:34" s="31" customFormat="1" ht="34.5" customHeight="1" x14ac:dyDescent="0.2">
      <c r="A14" s="66" t="s">
        <v>68</v>
      </c>
      <c r="B14" s="45">
        <v>1</v>
      </c>
      <c r="C14" s="15" t="s">
        <v>53</v>
      </c>
      <c r="D14" s="32" t="s">
        <v>47</v>
      </c>
      <c r="E14" s="35">
        <v>87246</v>
      </c>
      <c r="F14" s="35">
        <f>B14*E14</f>
        <v>87246</v>
      </c>
      <c r="G14" s="42">
        <f>F14*25%</f>
        <v>21811.5</v>
      </c>
      <c r="H14" s="46"/>
      <c r="I14" s="46"/>
      <c r="J14" s="47"/>
      <c r="K14" s="47"/>
      <c r="L14" s="46"/>
      <c r="M14" s="42">
        <f>(F14+G14)*10%</f>
        <v>10905.75</v>
      </c>
      <c r="N14" s="42">
        <f>SUM(F14+G14+H14+I14+L14+M14+J14+K14)</f>
        <v>119963.25</v>
      </c>
      <c r="O14" s="35" t="str">
        <f>D14</f>
        <v>В1-4</v>
      </c>
      <c r="P14" s="42">
        <f>E14*2</f>
        <v>174492</v>
      </c>
      <c r="Q14" s="42">
        <f>P14*B14</f>
        <v>174492</v>
      </c>
      <c r="R14" s="42">
        <f>Q14*0.25</f>
        <v>43623</v>
      </c>
      <c r="S14" s="46"/>
      <c r="T14" s="47"/>
      <c r="U14" s="46"/>
      <c r="V14" s="46"/>
      <c r="W14" s="46"/>
      <c r="X14" s="46"/>
      <c r="Y14" s="46"/>
      <c r="Z14" s="46"/>
      <c r="AA14" s="47"/>
      <c r="AB14" s="46"/>
      <c r="AC14" s="46"/>
      <c r="AD14" s="47"/>
      <c r="AE14" s="42">
        <f>(Q14+R14)*10%</f>
        <v>21811.5</v>
      </c>
      <c r="AF14" s="42">
        <f>SUM(Q14+V14+R14+S14+T14+Z14+AA14+AB14+AC14+AD14+AE14+W14+X14+Y14+U14)</f>
        <v>239926.5</v>
      </c>
      <c r="AG14" s="43">
        <f>N14</f>
        <v>119963.25</v>
      </c>
      <c r="AH14" s="42">
        <f>AF14-AG14</f>
        <v>119963.25</v>
      </c>
    </row>
    <row r="15" spans="1:34" s="31" customFormat="1" ht="37.5" customHeight="1" x14ac:dyDescent="0.2">
      <c r="A15" s="68" t="s">
        <v>86</v>
      </c>
      <c r="B15" s="36">
        <v>1</v>
      </c>
      <c r="C15" s="18" t="s">
        <v>56</v>
      </c>
      <c r="D15" s="18" t="s">
        <v>34</v>
      </c>
      <c r="E15" s="35">
        <v>66010</v>
      </c>
      <c r="F15" s="35">
        <f>B15*E15</f>
        <v>66010</v>
      </c>
      <c r="G15" s="42">
        <f t="shared" ref="G15" si="0">F15*25%</f>
        <v>16502.5</v>
      </c>
      <c r="H15" s="42"/>
      <c r="I15" s="42"/>
      <c r="J15" s="42"/>
      <c r="K15" s="42">
        <v>17697</v>
      </c>
      <c r="L15" s="42"/>
      <c r="M15" s="42">
        <f t="shared" ref="M15" si="1">(F15+G15)*10%</f>
        <v>8251.25</v>
      </c>
      <c r="N15" s="42">
        <f t="shared" ref="N15:N17" si="2">SUM(F15+G15+H15+I15+L15+M15+J15+K15)</f>
        <v>108460.75</v>
      </c>
      <c r="O15" s="35" t="str">
        <f t="shared" ref="O15:O17" si="3">D15</f>
        <v>В4-4</v>
      </c>
      <c r="P15" s="42">
        <f t="shared" ref="P15:P16" si="4">E15*2</f>
        <v>132020</v>
      </c>
      <c r="Q15" s="42">
        <f>P15*B15</f>
        <v>132020</v>
      </c>
      <c r="R15" s="42">
        <f t="shared" ref="R15:R16" si="5">Q15*0.25</f>
        <v>33005</v>
      </c>
      <c r="S15" s="42"/>
      <c r="T15" s="42"/>
      <c r="U15" s="42"/>
      <c r="V15" s="42">
        <v>17697</v>
      </c>
      <c r="W15" s="42"/>
      <c r="X15" s="42"/>
      <c r="Y15" s="42"/>
      <c r="Z15" s="42"/>
      <c r="AA15" s="42"/>
      <c r="AB15" s="42">
        <f>(Q15+R15)*35%</f>
        <v>57758.749999999993</v>
      </c>
      <c r="AC15" s="42"/>
      <c r="AD15" s="42"/>
      <c r="AE15" s="42">
        <f t="shared" ref="AE15:AE17" si="6">(Q15+R15)*10%</f>
        <v>16502.5</v>
      </c>
      <c r="AF15" s="42">
        <f t="shared" ref="AF15:AF17" si="7">SUM(Q15+V15+R15+S15+T15+Z15+AA15+AB15+AC15+AD15+AE15+W15+X15+Y15+U15)</f>
        <v>256983.25</v>
      </c>
      <c r="AG15" s="43">
        <f t="shared" ref="AG15:AG17" si="8">N15</f>
        <v>108460.75</v>
      </c>
      <c r="AH15" s="42">
        <f t="shared" ref="AH15:AH17" si="9">AF15-AG15</f>
        <v>148522.5</v>
      </c>
    </row>
    <row r="16" spans="1:34" s="31" customFormat="1" ht="29.25" customHeight="1" x14ac:dyDescent="0.2">
      <c r="A16" s="68" t="s">
        <v>86</v>
      </c>
      <c r="B16" s="36">
        <v>1</v>
      </c>
      <c r="C16" s="15" t="s">
        <v>50</v>
      </c>
      <c r="D16" s="18" t="s">
        <v>34</v>
      </c>
      <c r="E16" s="35">
        <v>62470</v>
      </c>
      <c r="F16" s="35">
        <f>B16*E16</f>
        <v>62470</v>
      </c>
      <c r="G16" s="42">
        <f>F16*25%</f>
        <v>15617.5</v>
      </c>
      <c r="H16" s="42"/>
      <c r="I16" s="42"/>
      <c r="J16" s="42"/>
      <c r="K16" s="42">
        <v>17697</v>
      </c>
      <c r="L16" s="42"/>
      <c r="M16" s="1">
        <f>(E16+(E16*25%))*10%</f>
        <v>7808.75</v>
      </c>
      <c r="N16" s="42">
        <f t="shared" si="2"/>
        <v>103593.25</v>
      </c>
      <c r="O16" s="18" t="s">
        <v>34</v>
      </c>
      <c r="P16" s="42">
        <f t="shared" si="4"/>
        <v>124940</v>
      </c>
      <c r="Q16" s="42">
        <f>P16*B16</f>
        <v>124940</v>
      </c>
      <c r="R16" s="42">
        <f t="shared" si="5"/>
        <v>31235</v>
      </c>
      <c r="S16" s="42"/>
      <c r="T16" s="42"/>
      <c r="U16" s="42"/>
      <c r="V16" s="42">
        <v>17697</v>
      </c>
      <c r="W16" s="42"/>
      <c r="X16" s="42"/>
      <c r="Y16" s="42"/>
      <c r="Z16" s="42"/>
      <c r="AA16" s="42"/>
      <c r="AB16" s="42"/>
      <c r="AC16" s="42"/>
      <c r="AD16" s="42"/>
      <c r="AE16" s="42">
        <f t="shared" si="6"/>
        <v>15617.5</v>
      </c>
      <c r="AF16" s="42">
        <f t="shared" si="7"/>
        <v>189489.5</v>
      </c>
      <c r="AG16" s="43">
        <f t="shared" si="8"/>
        <v>103593.25</v>
      </c>
      <c r="AH16" s="42">
        <f t="shared" si="9"/>
        <v>85896.25</v>
      </c>
    </row>
    <row r="17" spans="1:34" s="31" customFormat="1" ht="17.25" customHeight="1" x14ac:dyDescent="0.2">
      <c r="A17" s="71" t="s">
        <v>57</v>
      </c>
      <c r="B17" s="36">
        <v>0.5</v>
      </c>
      <c r="C17" s="15" t="s">
        <v>50</v>
      </c>
      <c r="D17" s="18" t="s">
        <v>34</v>
      </c>
      <c r="E17" s="35">
        <v>62470</v>
      </c>
      <c r="F17" s="35">
        <f>B17*E17</f>
        <v>31235</v>
      </c>
      <c r="G17" s="42"/>
      <c r="H17" s="42"/>
      <c r="I17" s="42"/>
      <c r="J17" s="42"/>
      <c r="K17" s="42"/>
      <c r="L17" s="42"/>
      <c r="M17" s="42">
        <f>(F17+G17)*10%</f>
        <v>3123.5</v>
      </c>
      <c r="N17" s="42">
        <f t="shared" si="2"/>
        <v>34358.5</v>
      </c>
      <c r="O17" s="35" t="str">
        <f t="shared" si="3"/>
        <v>В4-4</v>
      </c>
      <c r="P17" s="42">
        <f>E17*1.45</f>
        <v>90581.5</v>
      </c>
      <c r="Q17" s="42">
        <f>P17*B17</f>
        <v>45290.75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>
        <f t="shared" si="6"/>
        <v>4529.0749999999998</v>
      </c>
      <c r="AF17" s="42">
        <f t="shared" si="7"/>
        <v>49819.824999999997</v>
      </c>
      <c r="AG17" s="43">
        <f t="shared" si="8"/>
        <v>34358.5</v>
      </c>
      <c r="AH17" s="42">
        <f t="shared" si="9"/>
        <v>15461.324999999997</v>
      </c>
    </row>
    <row r="18" spans="1:34" s="31" customFormat="1" ht="18.75" customHeight="1" x14ac:dyDescent="0.2">
      <c r="A18" s="76" t="s">
        <v>20</v>
      </c>
      <c r="B18" s="6">
        <f>SUM(B14:B17)</f>
        <v>3.5</v>
      </c>
      <c r="C18" s="6"/>
      <c r="D18" s="6"/>
      <c r="E18" s="3"/>
      <c r="F18" s="3">
        <f t="shared" ref="F18:N18" si="10">SUM(F14:F17)</f>
        <v>246961</v>
      </c>
      <c r="G18" s="3">
        <f t="shared" si="10"/>
        <v>53931.5</v>
      </c>
      <c r="H18" s="3">
        <f t="shared" si="10"/>
        <v>0</v>
      </c>
      <c r="I18" s="3">
        <f t="shared" si="10"/>
        <v>0</v>
      </c>
      <c r="J18" s="3">
        <f t="shared" si="10"/>
        <v>0</v>
      </c>
      <c r="K18" s="3">
        <f t="shared" si="10"/>
        <v>35394</v>
      </c>
      <c r="L18" s="3">
        <f t="shared" si="10"/>
        <v>0</v>
      </c>
      <c r="M18" s="3">
        <f t="shared" si="10"/>
        <v>30089.25</v>
      </c>
      <c r="N18" s="3">
        <f t="shared" si="10"/>
        <v>366375.75</v>
      </c>
      <c r="O18" s="3"/>
      <c r="P18" s="3"/>
      <c r="Q18" s="3">
        <f>SUM(Q14:Q17)</f>
        <v>476742.75</v>
      </c>
      <c r="R18" s="3">
        <f>SUM(R14:R17)</f>
        <v>107863</v>
      </c>
      <c r="S18" s="3">
        <f t="shared" ref="S18:AH18" si="11">SUM(S14:S17)</f>
        <v>0</v>
      </c>
      <c r="T18" s="3">
        <f t="shared" si="11"/>
        <v>0</v>
      </c>
      <c r="U18" s="3">
        <f t="shared" si="11"/>
        <v>0</v>
      </c>
      <c r="V18" s="3">
        <f t="shared" si="11"/>
        <v>35394</v>
      </c>
      <c r="W18" s="3">
        <f t="shared" si="11"/>
        <v>0</v>
      </c>
      <c r="X18" s="3">
        <f t="shared" si="11"/>
        <v>0</v>
      </c>
      <c r="Y18" s="3">
        <f t="shared" si="11"/>
        <v>0</v>
      </c>
      <c r="Z18" s="3">
        <f t="shared" si="11"/>
        <v>0</v>
      </c>
      <c r="AA18" s="3">
        <f t="shared" si="11"/>
        <v>0</v>
      </c>
      <c r="AB18" s="3">
        <f t="shared" si="11"/>
        <v>57758.749999999993</v>
      </c>
      <c r="AC18" s="3">
        <f t="shared" si="11"/>
        <v>0</v>
      </c>
      <c r="AD18" s="3">
        <f t="shared" si="11"/>
        <v>0</v>
      </c>
      <c r="AE18" s="3">
        <f t="shared" si="11"/>
        <v>58460.574999999997</v>
      </c>
      <c r="AF18" s="3">
        <f t="shared" si="11"/>
        <v>736219.07499999995</v>
      </c>
      <c r="AG18" s="3">
        <f t="shared" si="11"/>
        <v>366375.75</v>
      </c>
      <c r="AH18" s="3">
        <f t="shared" si="11"/>
        <v>369843.32500000001</v>
      </c>
    </row>
    <row r="19" spans="1:34" s="31" customFormat="1" ht="18.75" customHeight="1" x14ac:dyDescent="0.2">
      <c r="A19" s="76" t="s">
        <v>24</v>
      </c>
      <c r="B19" s="6">
        <f>B18</f>
        <v>3.5</v>
      </c>
      <c r="C19" s="41"/>
      <c r="D19" s="41"/>
      <c r="E19" s="41"/>
      <c r="F19" s="3">
        <f t="shared" ref="F19:AH19" si="12">F18</f>
        <v>246961</v>
      </c>
      <c r="G19" s="3">
        <f t="shared" si="12"/>
        <v>53931.5</v>
      </c>
      <c r="H19" s="3">
        <f t="shared" si="12"/>
        <v>0</v>
      </c>
      <c r="I19" s="3">
        <f t="shared" si="12"/>
        <v>0</v>
      </c>
      <c r="J19" s="3">
        <f t="shared" si="12"/>
        <v>0</v>
      </c>
      <c r="K19" s="3">
        <f t="shared" si="12"/>
        <v>35394</v>
      </c>
      <c r="L19" s="3">
        <f t="shared" si="12"/>
        <v>0</v>
      </c>
      <c r="M19" s="3">
        <f t="shared" si="12"/>
        <v>30089.25</v>
      </c>
      <c r="N19" s="3">
        <f t="shared" si="12"/>
        <v>366375.75</v>
      </c>
      <c r="O19" s="3"/>
      <c r="P19" s="3"/>
      <c r="Q19" s="3">
        <f t="shared" si="12"/>
        <v>476742.75</v>
      </c>
      <c r="R19" s="3">
        <f t="shared" si="12"/>
        <v>107863</v>
      </c>
      <c r="S19" s="3">
        <f t="shared" si="12"/>
        <v>0</v>
      </c>
      <c r="T19" s="3">
        <f t="shared" si="12"/>
        <v>0</v>
      </c>
      <c r="U19" s="3">
        <f t="shared" si="12"/>
        <v>0</v>
      </c>
      <c r="V19" s="3">
        <f t="shared" si="12"/>
        <v>35394</v>
      </c>
      <c r="W19" s="3">
        <f t="shared" si="12"/>
        <v>0</v>
      </c>
      <c r="X19" s="3">
        <f t="shared" si="12"/>
        <v>0</v>
      </c>
      <c r="Y19" s="3">
        <f t="shared" si="12"/>
        <v>0</v>
      </c>
      <c r="Z19" s="3">
        <f t="shared" si="12"/>
        <v>0</v>
      </c>
      <c r="AA19" s="3">
        <f t="shared" si="12"/>
        <v>0</v>
      </c>
      <c r="AB19" s="3">
        <f t="shared" si="12"/>
        <v>57758.749999999993</v>
      </c>
      <c r="AC19" s="3">
        <f t="shared" si="12"/>
        <v>0</v>
      </c>
      <c r="AD19" s="3">
        <f t="shared" si="12"/>
        <v>0</v>
      </c>
      <c r="AE19" s="3">
        <f t="shared" si="12"/>
        <v>58460.574999999997</v>
      </c>
      <c r="AF19" s="3">
        <f t="shared" si="12"/>
        <v>736219.07499999995</v>
      </c>
      <c r="AG19" s="3">
        <f t="shared" si="12"/>
        <v>366375.75</v>
      </c>
      <c r="AH19" s="3">
        <f t="shared" si="12"/>
        <v>369843.32500000001</v>
      </c>
    </row>
    <row r="20" spans="1:34" x14ac:dyDescent="0.2">
      <c r="AF20" s="34"/>
      <c r="AG20" s="33"/>
    </row>
    <row r="21" spans="1:34" x14ac:dyDescent="0.2">
      <c r="AF21" s="10"/>
    </row>
    <row r="22" spans="1:34" x14ac:dyDescent="0.2">
      <c r="N22" s="12"/>
      <c r="AF22" s="10"/>
    </row>
  </sheetData>
  <mergeCells count="41">
    <mergeCell ref="W10:AC10"/>
    <mergeCell ref="AD10:AD12"/>
    <mergeCell ref="AE10:AE12"/>
    <mergeCell ref="W11:Y11"/>
    <mergeCell ref="Z11:Z12"/>
    <mergeCell ref="AA11:AA12"/>
    <mergeCell ref="AB11:AB12"/>
    <mergeCell ref="AC11:AC12"/>
    <mergeCell ref="AD9:AE9"/>
    <mergeCell ref="AF9:AF12"/>
    <mergeCell ref="AG9:AG12"/>
    <mergeCell ref="AH9:AH12"/>
    <mergeCell ref="H10:H12"/>
    <mergeCell ref="I10:I12"/>
    <mergeCell ref="J10:J12"/>
    <mergeCell ref="K10:K12"/>
    <mergeCell ref="L10:L12"/>
    <mergeCell ref="M10:M12"/>
    <mergeCell ref="N9:N12"/>
    <mergeCell ref="O9:O12"/>
    <mergeCell ref="P9:P12"/>
    <mergeCell ref="Q9:Q12"/>
    <mergeCell ref="R9:R12"/>
    <mergeCell ref="S9:AC9"/>
    <mergeCell ref="S10:S12"/>
    <mergeCell ref="T10:T12"/>
    <mergeCell ref="U10:U12"/>
    <mergeCell ref="V10:V12"/>
    <mergeCell ref="F7:L7"/>
    <mergeCell ref="F9:F12"/>
    <mergeCell ref="G9:G12"/>
    <mergeCell ref="H9:J9"/>
    <mergeCell ref="L9:M9"/>
    <mergeCell ref="A9:A12"/>
    <mergeCell ref="B9:B12"/>
    <mergeCell ref="C9:C12"/>
    <mergeCell ref="D9:D12"/>
    <mergeCell ref="E9:E12"/>
    <mergeCell ref="F6:L6"/>
    <mergeCell ref="G2:L4"/>
    <mergeCell ref="F5:L5"/>
  </mergeCells>
  <pageMargins left="0.6692913385826772" right="0" top="0.74803149606299213" bottom="0.74803149606299213" header="0.31496062992125984" footer="0.31496062992125984"/>
  <pageSetup paperSize="9" scale="68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024-01.09 правильный</vt:lpstr>
      <vt:lpstr>052-01.09. правильный</vt:lpstr>
      <vt:lpstr>'024-01.09 правильный'!Заголовки_для_печати</vt:lpstr>
      <vt:lpstr>'052-01.09. правильный'!Заголовки_для_печати</vt:lpstr>
      <vt:lpstr>'052-01.09. правильный'!Область_печати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2023-09-22T11:42:33Z</cp:lastPrinted>
  <dcterms:created xsi:type="dcterms:W3CDTF">2021-09-14T11:46:22Z</dcterms:created>
  <dcterms:modified xsi:type="dcterms:W3CDTF">2023-10-09T09:08:12Z</dcterms:modified>
</cp:coreProperties>
</file>